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rus001\Desktop\In Progress\"/>
    </mc:Choice>
  </mc:AlternateContent>
  <bookViews>
    <workbookView xWindow="0" yWindow="0" windowWidth="19200" windowHeight="7700" firstSheet="1" activeTab="3"/>
  </bookViews>
  <sheets>
    <sheet name="Einfache Abfrage" sheetId="12" r:id="rId1"/>
    <sheet name="SHK u. WHK" sheetId="4" r:id="rId2"/>
    <sheet name="Projektkosten" sheetId="13" r:id="rId3"/>
    <sheet name="Projektkosten-DFG-EFRE-Interreg" sheetId="14" r:id="rId4"/>
    <sheet name="Projektkosten ZIM" sheetId="20" r:id="rId5"/>
    <sheet name="Bestehendes Personal" sheetId="18" r:id="rId6"/>
    <sheet name="Reisekostenhilfe" sheetId="19" r:id="rId7"/>
    <sheet name="Prof" sheetId="15" r:id="rId8"/>
    <sheet name="Tabelle" sheetId="10" r:id="rId9"/>
    <sheet name="Infos FoFö" sheetId="9" r:id="rId10"/>
    <sheet name="RK-Infos" sheetId="17" r:id="rId11"/>
  </sheets>
  <externalReferences>
    <externalReference r:id="rId12"/>
  </externalReferences>
  <definedNames>
    <definedName name="_xlnm.Print_Area" localSheetId="5">'Bestehendes Personal'!$B$2:$I$41</definedName>
    <definedName name="_xlnm.Print_Area" localSheetId="2">Projektkosten!$B$2:$S$89</definedName>
    <definedName name="_xlnm.Print_Area" localSheetId="3">'Projektkosten-DFG-EFRE-Interreg'!$B$2:$AI$78</definedName>
    <definedName name="Sitzungen2008" localSheetId="2">[1]Service_Bib!#REF!</definedName>
    <definedName name="Sitzungen2008" localSheetId="3">[1]Service_Bib!#REF!</definedName>
    <definedName name="Sitzungen2008" localSheetId="6">[1]Service_Bib!#REF!</definedName>
    <definedName name="Sitzungen2008">[1]Service_Bib!#REF!</definedName>
    <definedName name="VollanzeigeEinzel2008" localSheetId="2">[1]Service_Bib!#REF!</definedName>
    <definedName name="VollanzeigeEinzel2008" localSheetId="3">[1]Service_Bib!#REF!</definedName>
    <definedName name="VollanzeigeEinzel2008" localSheetId="6">[1]Service_Bib!#REF!</definedName>
    <definedName name="VollanzeigeEinzel2008">[1]Service_Bib!#REF!</definedName>
    <definedName name="VollanzZS2008" localSheetId="2">[1]Service_Bib!#REF!</definedName>
    <definedName name="VollanzZS2008" localSheetId="3">[1]Service_Bib!#REF!</definedName>
    <definedName name="VollanzZS2008" localSheetId="6">[1]Service_Bib!#REF!</definedName>
    <definedName name="VollanzZS2008">[1]Service_Bib!#REF!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14" l="1"/>
  <c r="P20" i="20" l="1"/>
  <c r="P19" i="20"/>
  <c r="Q19" i="20" s="1"/>
  <c r="L20" i="20"/>
  <c r="L19" i="20"/>
  <c r="H20" i="20"/>
  <c r="H19" i="20"/>
  <c r="D19" i="20"/>
  <c r="D20" i="20"/>
  <c r="G33" i="20"/>
  <c r="S16" i="20"/>
  <c r="S23" i="20" s="1"/>
  <c r="S13" i="20"/>
  <c r="S12" i="20"/>
  <c r="K28" i="20"/>
  <c r="S19" i="20" l="1"/>
  <c r="O12" i="20"/>
  <c r="K12" i="20"/>
  <c r="G12" i="20"/>
  <c r="T23" i="20"/>
  <c r="T17" i="20"/>
  <c r="T22" i="20" s="1"/>
  <c r="T24" i="20" s="1"/>
  <c r="T10" i="20"/>
  <c r="T12" i="20" s="1"/>
  <c r="M19" i="20"/>
  <c r="O19" i="20" s="1"/>
  <c r="O16" i="20"/>
  <c r="O23" i="20" s="1"/>
  <c r="O13" i="20"/>
  <c r="I19" i="20"/>
  <c r="K19" i="20" s="1"/>
  <c r="K16" i="20"/>
  <c r="K23" i="20" s="1"/>
  <c r="K13" i="20"/>
  <c r="G16" i="20"/>
  <c r="G23" i="20" s="1"/>
  <c r="E19" i="20"/>
  <c r="G19" i="20" s="1"/>
  <c r="G13" i="20"/>
  <c r="H36" i="14"/>
  <c r="G36" i="14"/>
  <c r="G37" i="14" s="1"/>
  <c r="H33" i="14"/>
  <c r="G33" i="14"/>
  <c r="G34" i="14" s="1"/>
  <c r="G37" i="13"/>
  <c r="G38" i="13" s="1"/>
  <c r="G34" i="13"/>
  <c r="G35" i="13" s="1"/>
  <c r="H37" i="13"/>
  <c r="H34" i="13"/>
  <c r="D13" i="4"/>
  <c r="D28" i="4"/>
  <c r="J13" i="4"/>
  <c r="J28" i="4"/>
  <c r="K27" i="4"/>
  <c r="L27" i="4" s="1"/>
  <c r="K12" i="4"/>
  <c r="L12" i="4" s="1"/>
  <c r="T26" i="20" l="1"/>
  <c r="G14" i="20"/>
  <c r="G15" i="20" s="1"/>
  <c r="G17" i="20" s="1"/>
  <c r="S14" i="20"/>
  <c r="T25" i="20"/>
  <c r="K14" i="20"/>
  <c r="O14" i="20"/>
  <c r="L18" i="20"/>
  <c r="M27" i="4"/>
  <c r="M12" i="4"/>
  <c r="K28" i="4"/>
  <c r="L28" i="4" s="1"/>
  <c r="J29" i="4" s="1"/>
  <c r="K29" i="4" s="1"/>
  <c r="L29" i="4" s="1"/>
  <c r="M29" i="4" s="1"/>
  <c r="K13" i="4"/>
  <c r="L13" i="4" s="1"/>
  <c r="H18" i="20" l="1"/>
  <c r="S15" i="20"/>
  <c r="S17" i="20" s="1"/>
  <c r="Q20" i="20" s="1"/>
  <c r="P18" i="20"/>
  <c r="K15" i="20"/>
  <c r="K17" i="20" s="1"/>
  <c r="I20" i="20" s="1"/>
  <c r="K20" i="20" s="1"/>
  <c r="O15" i="20"/>
  <c r="O17" i="20" s="1"/>
  <c r="M20" i="20" s="1"/>
  <c r="O20" i="20" s="1"/>
  <c r="D18" i="20"/>
  <c r="E18" i="20" s="1"/>
  <c r="G18" i="20" s="1"/>
  <c r="E20" i="20"/>
  <c r="G20" i="20" s="1"/>
  <c r="J14" i="4"/>
  <c r="K14" i="4" s="1"/>
  <c r="L14" i="4" s="1"/>
  <c r="M14" i="4" s="1"/>
  <c r="I19" i="4"/>
  <c r="J30" i="4"/>
  <c r="J31" i="4" s="1"/>
  <c r="K30" i="4"/>
  <c r="K31" i="4" s="1"/>
  <c r="I18" i="20" l="1"/>
  <c r="K18" i="20" s="1"/>
  <c r="K21" i="20" s="1"/>
  <c r="K22" i="20" s="1"/>
  <c r="K24" i="20" s="1"/>
  <c r="K25" i="20" s="1"/>
  <c r="K26" i="20" s="1"/>
  <c r="S20" i="20"/>
  <c r="M18" i="20"/>
  <c r="O18" i="20" s="1"/>
  <c r="O21" i="20" s="1"/>
  <c r="O22" i="20" s="1"/>
  <c r="O24" i="20" s="1"/>
  <c r="O25" i="20" s="1"/>
  <c r="O26" i="20" s="1"/>
  <c r="Q18" i="20"/>
  <c r="S18" i="20" s="1"/>
  <c r="G21" i="20"/>
  <c r="G22" i="20" s="1"/>
  <c r="G24" i="20" s="1"/>
  <c r="G25" i="20" s="1"/>
  <c r="K15" i="4"/>
  <c r="K16" i="4" s="1"/>
  <c r="J15" i="4"/>
  <c r="J16" i="4" s="1"/>
  <c r="M28" i="4"/>
  <c r="L30" i="4"/>
  <c r="L31" i="4" s="1"/>
  <c r="M13" i="4"/>
  <c r="L15" i="4"/>
  <c r="L16" i="4" s="1"/>
  <c r="S21" i="20" l="1"/>
  <c r="S22" i="20" s="1"/>
  <c r="S24" i="20" s="1"/>
  <c r="S25" i="20" s="1"/>
  <c r="S26" i="20" s="1"/>
  <c r="G26" i="20"/>
  <c r="M30" i="4"/>
  <c r="M31" i="4" s="1"/>
  <c r="M15" i="4"/>
  <c r="M16" i="4" s="1"/>
  <c r="G28" i="20" l="1"/>
  <c r="G29" i="20" s="1"/>
  <c r="G31" i="20" s="1"/>
  <c r="U32" i="14" l="1"/>
  <c r="J39" i="14"/>
  <c r="K39" i="14"/>
  <c r="L39" i="14"/>
  <c r="M39" i="14"/>
  <c r="N39" i="14"/>
  <c r="I39" i="14"/>
  <c r="H39" i="14"/>
  <c r="U38" i="14"/>
  <c r="Y38" i="14"/>
  <c r="Y28" i="14"/>
  <c r="Y24" i="14"/>
  <c r="Y16" i="14"/>
  <c r="Y12" i="14"/>
  <c r="Y35" i="14"/>
  <c r="Y32" i="14"/>
  <c r="R43" i="14"/>
  <c r="R42" i="14"/>
  <c r="H34" i="14"/>
  <c r="F33" i="14"/>
  <c r="H37" i="14"/>
  <c r="E41" i="14"/>
  <c r="H40" i="14" s="1"/>
  <c r="H41" i="14" s="1"/>
  <c r="X40" i="14"/>
  <c r="W39" i="14"/>
  <c r="AG38" i="14"/>
  <c r="AE38" i="14"/>
  <c r="AD38" i="14"/>
  <c r="AC38" i="14"/>
  <c r="AB38" i="14"/>
  <c r="AA38" i="14"/>
  <c r="Z38" i="14"/>
  <c r="Q38" i="14"/>
  <c r="AF38" i="14" s="1"/>
  <c r="J40" i="14" l="1"/>
  <c r="J41" i="14" s="1"/>
  <c r="K40" i="14"/>
  <c r="K41" i="14" s="1"/>
  <c r="L40" i="14"/>
  <c r="L41" i="14" s="1"/>
  <c r="M40" i="14"/>
  <c r="M41" i="14" s="1"/>
  <c r="N40" i="14"/>
  <c r="N41" i="14" s="1"/>
  <c r="AH39" i="14"/>
  <c r="R38" i="14"/>
  <c r="R44" i="14" s="1"/>
  <c r="R47" i="14" s="1"/>
  <c r="H38" i="13"/>
  <c r="H35" i="13"/>
  <c r="P40" i="13"/>
  <c r="E42" i="13"/>
  <c r="L40" i="13" s="1"/>
  <c r="I37" i="13" l="1"/>
  <c r="I40" i="14"/>
  <c r="I41" i="14" s="1"/>
  <c r="P39" i="14"/>
  <c r="O41" i="14"/>
  <c r="J40" i="13"/>
  <c r="M40" i="13"/>
  <c r="N40" i="13"/>
  <c r="N41" i="13" s="1"/>
  <c r="N42" i="13" s="1"/>
  <c r="H40" i="13"/>
  <c r="I40" i="13"/>
  <c r="K40" i="13"/>
  <c r="I34" i="13"/>
  <c r="Q39" i="13"/>
  <c r="R39" i="13" s="1"/>
  <c r="I41" i="13" l="1"/>
  <c r="I42" i="13" s="1"/>
  <c r="J41" i="13"/>
  <c r="J42" i="13" s="1"/>
  <c r="K41" i="13"/>
  <c r="K42" i="13" s="1"/>
  <c r="L41" i="13"/>
  <c r="L42" i="13" s="1"/>
  <c r="M41" i="13"/>
  <c r="M42" i="13" s="1"/>
  <c r="H41" i="13"/>
  <c r="H42" i="13" s="1"/>
  <c r="C7" i="19"/>
  <c r="C6" i="19"/>
  <c r="X54" i="19"/>
  <c r="U54" i="19"/>
  <c r="V54" i="19" s="1"/>
  <c r="P54" i="19"/>
  <c r="T54" i="19" s="1"/>
  <c r="L54" i="19"/>
  <c r="K54" i="19"/>
  <c r="J54" i="19"/>
  <c r="X53" i="19"/>
  <c r="U53" i="19"/>
  <c r="V53" i="19" s="1"/>
  <c r="P53" i="19"/>
  <c r="T53" i="19" s="1"/>
  <c r="L53" i="19"/>
  <c r="K53" i="19"/>
  <c r="J53" i="19"/>
  <c r="X52" i="19"/>
  <c r="U52" i="19"/>
  <c r="V52" i="19" s="1"/>
  <c r="P52" i="19"/>
  <c r="T52" i="19" s="1"/>
  <c r="L52" i="19"/>
  <c r="K52" i="19"/>
  <c r="J52" i="19"/>
  <c r="X51" i="19"/>
  <c r="U51" i="19"/>
  <c r="V51" i="19" s="1"/>
  <c r="P51" i="19"/>
  <c r="T51" i="19" s="1"/>
  <c r="L51" i="19"/>
  <c r="K51" i="19"/>
  <c r="J51" i="19"/>
  <c r="X50" i="19"/>
  <c r="U50" i="19"/>
  <c r="V50" i="19" s="1"/>
  <c r="P50" i="19"/>
  <c r="T50" i="19" s="1"/>
  <c r="L50" i="19"/>
  <c r="K50" i="19"/>
  <c r="J50" i="19"/>
  <c r="X49" i="19"/>
  <c r="U49" i="19"/>
  <c r="V49" i="19" s="1"/>
  <c r="P49" i="19"/>
  <c r="T49" i="19" s="1"/>
  <c r="L49" i="19"/>
  <c r="K49" i="19"/>
  <c r="J49" i="19"/>
  <c r="X48" i="19"/>
  <c r="U48" i="19"/>
  <c r="V48" i="19" s="1"/>
  <c r="P48" i="19"/>
  <c r="T48" i="19" s="1"/>
  <c r="L48" i="19"/>
  <c r="K48" i="19"/>
  <c r="J48" i="19"/>
  <c r="X47" i="19"/>
  <c r="U47" i="19"/>
  <c r="V47" i="19" s="1"/>
  <c r="P47" i="19"/>
  <c r="T47" i="19" s="1"/>
  <c r="L47" i="19"/>
  <c r="K47" i="19"/>
  <c r="J47" i="19"/>
  <c r="U46" i="19"/>
  <c r="V46" i="19" s="1"/>
  <c r="L46" i="19"/>
  <c r="K46" i="19"/>
  <c r="M46" i="19" s="1"/>
  <c r="N46" i="19" s="1"/>
  <c r="J46" i="19"/>
  <c r="U30" i="19"/>
  <c r="S30" i="19"/>
  <c r="R30" i="19"/>
  <c r="L30" i="19"/>
  <c r="P30" i="19" s="1"/>
  <c r="I30" i="19"/>
  <c r="J30" i="19" s="1"/>
  <c r="U29" i="19"/>
  <c r="S29" i="19"/>
  <c r="R29" i="19"/>
  <c r="L29" i="19"/>
  <c r="P29" i="19" s="1"/>
  <c r="I29" i="19"/>
  <c r="J29" i="19" s="1"/>
  <c r="U28" i="19"/>
  <c r="S28" i="19"/>
  <c r="R28" i="19"/>
  <c r="L28" i="19"/>
  <c r="P28" i="19" s="1"/>
  <c r="I28" i="19"/>
  <c r="J28" i="19" s="1"/>
  <c r="U27" i="19"/>
  <c r="S27" i="19"/>
  <c r="R27" i="19"/>
  <c r="L27" i="19"/>
  <c r="P27" i="19" s="1"/>
  <c r="I27" i="19"/>
  <c r="J27" i="19" s="1"/>
  <c r="U26" i="19"/>
  <c r="S26" i="19"/>
  <c r="R26" i="19"/>
  <c r="L26" i="19"/>
  <c r="P26" i="19" s="1"/>
  <c r="I26" i="19"/>
  <c r="J26" i="19" s="1"/>
  <c r="U25" i="19"/>
  <c r="S25" i="19"/>
  <c r="R25" i="19"/>
  <c r="L25" i="19"/>
  <c r="P25" i="19" s="1"/>
  <c r="I25" i="19"/>
  <c r="J25" i="19" s="1"/>
  <c r="X46" i="19"/>
  <c r="P46" i="19"/>
  <c r="T46" i="19" s="1"/>
  <c r="U36" i="19"/>
  <c r="S36" i="19"/>
  <c r="R36" i="19"/>
  <c r="L36" i="19"/>
  <c r="P36" i="19" s="1"/>
  <c r="I36" i="19"/>
  <c r="J36" i="19" s="1"/>
  <c r="U35" i="19"/>
  <c r="S35" i="19"/>
  <c r="R35" i="19"/>
  <c r="L35" i="19"/>
  <c r="P35" i="19" s="1"/>
  <c r="I35" i="19"/>
  <c r="J35" i="19" s="1"/>
  <c r="U34" i="19"/>
  <c r="S34" i="19"/>
  <c r="R34" i="19"/>
  <c r="L34" i="19"/>
  <c r="P34" i="19" s="1"/>
  <c r="I34" i="19"/>
  <c r="J34" i="19" s="1"/>
  <c r="U33" i="19"/>
  <c r="S33" i="19"/>
  <c r="R33" i="19"/>
  <c r="L33" i="19"/>
  <c r="P33" i="19" s="1"/>
  <c r="I33" i="19"/>
  <c r="J33" i="19" s="1"/>
  <c r="U32" i="19"/>
  <c r="S32" i="19"/>
  <c r="R32" i="19"/>
  <c r="L32" i="19"/>
  <c r="P32" i="19" s="1"/>
  <c r="I32" i="19"/>
  <c r="J32" i="19" s="1"/>
  <c r="U31" i="19"/>
  <c r="S31" i="19"/>
  <c r="R31" i="19"/>
  <c r="L31" i="19"/>
  <c r="P31" i="19" s="1"/>
  <c r="I31" i="19"/>
  <c r="J31" i="19" s="1"/>
  <c r="U24" i="19"/>
  <c r="S24" i="19"/>
  <c r="R24" i="19"/>
  <c r="L24" i="19"/>
  <c r="P24" i="19" s="1"/>
  <c r="I24" i="19"/>
  <c r="J24" i="19" s="1"/>
  <c r="U23" i="19"/>
  <c r="S23" i="19"/>
  <c r="R23" i="19"/>
  <c r="L23" i="19"/>
  <c r="P23" i="19" s="1"/>
  <c r="I23" i="19"/>
  <c r="J23" i="19" s="1"/>
  <c r="U22" i="19"/>
  <c r="S22" i="19"/>
  <c r="R22" i="19"/>
  <c r="L22" i="19"/>
  <c r="P22" i="19" s="1"/>
  <c r="I22" i="19"/>
  <c r="J22" i="19" s="1"/>
  <c r="U21" i="19"/>
  <c r="S21" i="19"/>
  <c r="R21" i="19"/>
  <c r="L21" i="19"/>
  <c r="P21" i="19" s="1"/>
  <c r="I21" i="19"/>
  <c r="J21" i="19" s="1"/>
  <c r="U20" i="19"/>
  <c r="S20" i="19"/>
  <c r="R20" i="19"/>
  <c r="L20" i="19"/>
  <c r="P20" i="19" s="1"/>
  <c r="I20" i="19"/>
  <c r="J20" i="19" s="1"/>
  <c r="U19" i="19"/>
  <c r="S19" i="19"/>
  <c r="R19" i="19"/>
  <c r="L19" i="19"/>
  <c r="P19" i="19" s="1"/>
  <c r="I19" i="19"/>
  <c r="J19" i="19" s="1"/>
  <c r="U18" i="19"/>
  <c r="S18" i="19"/>
  <c r="R18" i="19"/>
  <c r="L18" i="19"/>
  <c r="P18" i="19" s="1"/>
  <c r="I18" i="19"/>
  <c r="J18" i="19" s="1"/>
  <c r="U17" i="19"/>
  <c r="S17" i="19"/>
  <c r="R17" i="19"/>
  <c r="L17" i="19"/>
  <c r="P17" i="19" s="1"/>
  <c r="I17" i="19"/>
  <c r="J17" i="19" s="1"/>
  <c r="S16" i="19"/>
  <c r="I16" i="19"/>
  <c r="J16" i="19" s="1"/>
  <c r="R16" i="19"/>
  <c r="U16" i="19"/>
  <c r="L16" i="19"/>
  <c r="P16" i="19" s="1"/>
  <c r="O42" i="13" l="1"/>
  <c r="M51" i="19"/>
  <c r="N51" i="19" s="1"/>
  <c r="Z51" i="19" s="1"/>
  <c r="M52" i="19"/>
  <c r="N52" i="19" s="1"/>
  <c r="Z52" i="19" s="1"/>
  <c r="M53" i="19"/>
  <c r="N53" i="19" s="1"/>
  <c r="Z53" i="19" s="1"/>
  <c r="M54" i="19"/>
  <c r="N54" i="19" s="1"/>
  <c r="Z54" i="19" s="1"/>
  <c r="M47" i="19"/>
  <c r="N47" i="19" s="1"/>
  <c r="Z47" i="19" s="1"/>
  <c r="M48" i="19"/>
  <c r="N48" i="19" s="1"/>
  <c r="Z48" i="19" s="1"/>
  <c r="M49" i="19"/>
  <c r="N49" i="19" s="1"/>
  <c r="Z49" i="19" s="1"/>
  <c r="M50" i="19"/>
  <c r="N50" i="19" s="1"/>
  <c r="Z50" i="19" s="1"/>
  <c r="W33" i="19"/>
  <c r="W35" i="19"/>
  <c r="W17" i="19"/>
  <c r="W21" i="19"/>
  <c r="W18" i="19"/>
  <c r="W26" i="19"/>
  <c r="W30" i="19"/>
  <c r="W24" i="19"/>
  <c r="Z46" i="19"/>
  <c r="W25" i="19"/>
  <c r="W29" i="19"/>
  <c r="W28" i="19"/>
  <c r="W27" i="19"/>
  <c r="W32" i="19"/>
  <c r="W34" i="19"/>
  <c r="W36" i="19"/>
  <c r="W20" i="19"/>
  <c r="W22" i="19"/>
  <c r="W23" i="19"/>
  <c r="W19" i="19"/>
  <c r="W31" i="19"/>
  <c r="W16" i="19"/>
  <c r="AF68" i="14"/>
  <c r="W56" i="14"/>
  <c r="Z55" i="19" l="1"/>
  <c r="W37" i="19"/>
  <c r="W74" i="14"/>
  <c r="P51" i="13"/>
  <c r="L60" i="14" l="1"/>
  <c r="W51" i="14"/>
  <c r="W53" i="14"/>
  <c r="O53" i="14"/>
  <c r="O52" i="14"/>
  <c r="O51" i="14"/>
  <c r="X56" i="14"/>
  <c r="AH67" i="14" s="1"/>
  <c r="AH68" i="14" s="1"/>
  <c r="AH69" i="14" s="1"/>
  <c r="AH70" i="14" s="1"/>
  <c r="Y56" i="14"/>
  <c r="W52" i="14" l="1"/>
  <c r="AH51" i="14"/>
  <c r="AH53" i="14"/>
  <c r="AH52" i="14"/>
  <c r="U3" i="14"/>
  <c r="J4" i="15"/>
  <c r="K4" i="15" s="1"/>
  <c r="E34" i="18" l="1"/>
  <c r="H11" i="18"/>
  <c r="H12" i="18" s="1"/>
  <c r="G11" i="18"/>
  <c r="G12" i="18" s="1"/>
  <c r="F11" i="18"/>
  <c r="F12" i="18" s="1"/>
  <c r="E11" i="18"/>
  <c r="H14" i="18" l="1"/>
  <c r="H13" i="18"/>
  <c r="G13" i="18"/>
  <c r="G14" i="18"/>
  <c r="F14" i="18"/>
  <c r="F13" i="18"/>
  <c r="E17" i="18"/>
  <c r="H26" i="18"/>
  <c r="G26" i="18"/>
  <c r="F26" i="18"/>
  <c r="H34" i="18"/>
  <c r="G34" i="18"/>
  <c r="F34" i="18"/>
  <c r="G9" i="14"/>
  <c r="F7" i="14"/>
  <c r="I9" i="14" l="1"/>
  <c r="J9" i="14" l="1"/>
  <c r="K9" i="14" l="1"/>
  <c r="L9" i="14" s="1"/>
  <c r="M9" i="14" s="1"/>
  <c r="N9" i="14" s="1"/>
  <c r="F7" i="13" l="1"/>
  <c r="G9" i="13" s="1"/>
  <c r="H7" i="18"/>
  <c r="G7" i="18"/>
  <c r="F7" i="18"/>
  <c r="E12" i="18"/>
  <c r="E14" i="18" s="1"/>
  <c r="E6" i="18" s="1"/>
  <c r="E7" i="18" s="1"/>
  <c r="H4" i="18"/>
  <c r="G4" i="18"/>
  <c r="F4" i="18"/>
  <c r="I9" i="13" l="1"/>
  <c r="J9" i="13" s="1"/>
  <c r="K9" i="13" s="1"/>
  <c r="E13" i="18"/>
  <c r="F15" i="18"/>
  <c r="F17" i="18" s="1"/>
  <c r="G15" i="18"/>
  <c r="G17" i="18" s="1"/>
  <c r="H15" i="18"/>
  <c r="H17" i="18" s="1"/>
  <c r="L9" i="13" l="1"/>
  <c r="M9" i="13" s="1"/>
  <c r="E27" i="18"/>
  <c r="E28" i="18" s="1"/>
  <c r="E31" i="18" s="1"/>
  <c r="E36" i="18" s="1"/>
  <c r="F69" i="13"/>
  <c r="F70" i="13"/>
  <c r="E30" i="18" l="1"/>
  <c r="E35" i="18" s="1"/>
  <c r="E29" i="18"/>
  <c r="D18" i="18"/>
  <c r="H18" i="18" s="1"/>
  <c r="D19" i="18"/>
  <c r="D20" i="18"/>
  <c r="D21" i="18"/>
  <c r="D23" i="18"/>
  <c r="D22" i="18"/>
  <c r="D24" i="18"/>
  <c r="D25" i="18"/>
  <c r="N9" i="13"/>
  <c r="F24" i="18" l="1"/>
  <c r="G24" i="18"/>
  <c r="H24" i="18"/>
  <c r="F22" i="18"/>
  <c r="H22" i="18"/>
  <c r="G22" i="18"/>
  <c r="F23" i="18"/>
  <c r="G23" i="18"/>
  <c r="H23" i="18"/>
  <c r="F19" i="18"/>
  <c r="H19" i="18"/>
  <c r="G19" i="18"/>
  <c r="F21" i="18"/>
  <c r="H21" i="18"/>
  <c r="G21" i="18"/>
  <c r="F20" i="18"/>
  <c r="G20" i="18"/>
  <c r="H20" i="18"/>
  <c r="F25" i="18"/>
  <c r="H25" i="18"/>
  <c r="G25" i="18"/>
  <c r="E32" i="18"/>
  <c r="E37" i="18" s="1"/>
  <c r="G18" i="18"/>
  <c r="F18" i="18"/>
  <c r="G27" i="18" l="1"/>
  <c r="G28" i="18" s="1"/>
  <c r="F27" i="18"/>
  <c r="H27" i="18"/>
  <c r="G30" i="18" l="1"/>
  <c r="G35" i="18" s="1"/>
  <c r="G29" i="18"/>
  <c r="G32" i="18" s="1"/>
  <c r="G37" i="18" s="1"/>
  <c r="G31" i="18"/>
  <c r="G36" i="18" s="1"/>
  <c r="H28" i="18"/>
  <c r="H30" i="18"/>
  <c r="H35" i="18" s="1"/>
  <c r="F28" i="18"/>
  <c r="F30" i="18"/>
  <c r="F35" i="18" s="1"/>
  <c r="F29" i="18" l="1"/>
  <c r="F31" i="18"/>
  <c r="F36" i="18" s="1"/>
  <c r="H29" i="18"/>
  <c r="H31" i="18"/>
  <c r="H36" i="18" s="1"/>
  <c r="H32" i="18" l="1"/>
  <c r="H37" i="18" s="1"/>
  <c r="F32" i="18"/>
  <c r="F37" i="18" s="1"/>
  <c r="S9" i="17" l="1"/>
  <c r="X9" i="17" s="1"/>
  <c r="H8" i="17"/>
  <c r="W9" i="17"/>
  <c r="U9" i="17"/>
  <c r="Y9" i="17" s="1"/>
  <c r="Q9" i="17"/>
  <c r="P9" i="17"/>
  <c r="O9" i="17"/>
  <c r="M9" i="17"/>
  <c r="L9" i="17"/>
  <c r="C9" i="17" s="1"/>
  <c r="K9" i="17"/>
  <c r="V9" i="17" s="1"/>
  <c r="D9" i="17"/>
  <c r="B9" i="17"/>
  <c r="X8" i="17"/>
  <c r="U8" i="17"/>
  <c r="E8" i="17" s="1"/>
  <c r="S8" i="17"/>
  <c r="Q8" i="17"/>
  <c r="P8" i="17"/>
  <c r="O8" i="17"/>
  <c r="W8" i="17" s="1"/>
  <c r="M8" i="17"/>
  <c r="D8" i="17" s="1"/>
  <c r="L8" i="17"/>
  <c r="K8" i="17"/>
  <c r="B8" i="17" s="1"/>
  <c r="C8" i="17"/>
  <c r="E9" i="17" l="1"/>
  <c r="V8" i="17"/>
  <c r="J23" i="17" s="1"/>
  <c r="Y8" i="17"/>
  <c r="H9" i="17" l="1"/>
  <c r="J24" i="17" s="1"/>
  <c r="P29" i="14"/>
  <c r="P25" i="14"/>
  <c r="P21" i="14"/>
  <c r="P17" i="14"/>
  <c r="Q12" i="14"/>
  <c r="Q16" i="14"/>
  <c r="Q20" i="14"/>
  <c r="Q24" i="14"/>
  <c r="Q28" i="14"/>
  <c r="Q32" i="14"/>
  <c r="R32" i="14" s="1"/>
  <c r="Q35" i="14"/>
  <c r="P26" i="13"/>
  <c r="P22" i="13"/>
  <c r="P18" i="13"/>
  <c r="F66" i="13"/>
  <c r="B5" i="15" l="1"/>
  <c r="E12" i="15" l="1"/>
  <c r="F12" i="15" s="1"/>
  <c r="G12" i="15" s="1"/>
  <c r="H12" i="15" s="1"/>
  <c r="I12" i="15" s="1"/>
  <c r="E13" i="15"/>
  <c r="F13" i="15" s="1"/>
  <c r="G13" i="15" s="1"/>
  <c r="H13" i="15" s="1"/>
  <c r="I13" i="15" s="1"/>
  <c r="E14" i="15"/>
  <c r="F14" i="15" s="1"/>
  <c r="G14" i="15" s="1"/>
  <c r="H14" i="15" s="1"/>
  <c r="I14" i="15" s="1"/>
  <c r="E15" i="15"/>
  <c r="F15" i="15" s="1"/>
  <c r="G15" i="15" s="1"/>
  <c r="H15" i="15" s="1"/>
  <c r="I15" i="15" s="1"/>
  <c r="E16" i="15"/>
  <c r="F16" i="15"/>
  <c r="G16" i="15" s="1"/>
  <c r="H16" i="15" s="1"/>
  <c r="I16" i="15" s="1"/>
  <c r="E17" i="15"/>
  <c r="F17" i="15" s="1"/>
  <c r="G17" i="15" s="1"/>
  <c r="H17" i="15" s="1"/>
  <c r="I17" i="15" s="1"/>
  <c r="E18" i="15"/>
  <c r="F18" i="15" s="1"/>
  <c r="G18" i="15" s="1"/>
  <c r="H18" i="15" s="1"/>
  <c r="I18" i="15" s="1"/>
  <c r="E19" i="15"/>
  <c r="F19" i="15" s="1"/>
  <c r="G19" i="15" s="1"/>
  <c r="H19" i="15" s="1"/>
  <c r="I19" i="15" s="1"/>
  <c r="E20" i="15"/>
  <c r="F20" i="15" s="1"/>
  <c r="G20" i="15" s="1"/>
  <c r="H20" i="15" s="1"/>
  <c r="I20" i="15" s="1"/>
  <c r="E21" i="15"/>
  <c r="F21" i="15" s="1"/>
  <c r="G21" i="15" s="1"/>
  <c r="H21" i="15" s="1"/>
  <c r="I21" i="15" s="1"/>
  <c r="E22" i="15"/>
  <c r="F22" i="15" s="1"/>
  <c r="G22" i="15" s="1"/>
  <c r="H22" i="15" s="1"/>
  <c r="I22" i="15" s="1"/>
  <c r="E23" i="15"/>
  <c r="F23" i="15" s="1"/>
  <c r="G23" i="15" s="1"/>
  <c r="H23" i="15" s="1"/>
  <c r="I23" i="15" s="1"/>
  <c r="E24" i="15"/>
  <c r="F24" i="15"/>
  <c r="G24" i="15" s="1"/>
  <c r="H24" i="15" s="1"/>
  <c r="I24" i="15" s="1"/>
  <c r="E25" i="15"/>
  <c r="F25" i="15" s="1"/>
  <c r="G25" i="15" s="1"/>
  <c r="H25" i="15" s="1"/>
  <c r="I25" i="15" s="1"/>
  <c r="E26" i="15"/>
  <c r="F26" i="15" s="1"/>
  <c r="G26" i="15" s="1"/>
  <c r="H26" i="15" s="1"/>
  <c r="I26" i="15" s="1"/>
  <c r="E27" i="15"/>
  <c r="F27" i="15"/>
  <c r="G27" i="15"/>
  <c r="H27" i="15" s="1"/>
  <c r="I27" i="15" s="1"/>
  <c r="E28" i="15"/>
  <c r="F28" i="15" s="1"/>
  <c r="G28" i="15" s="1"/>
  <c r="H28" i="15" s="1"/>
  <c r="I28" i="15" s="1"/>
  <c r="E29" i="15"/>
  <c r="F29" i="15" s="1"/>
  <c r="G29" i="15" s="1"/>
  <c r="H29" i="15" s="1"/>
  <c r="I29" i="15" s="1"/>
  <c r="E30" i="15"/>
  <c r="F30" i="15" s="1"/>
  <c r="G30" i="15" s="1"/>
  <c r="H30" i="15" s="1"/>
  <c r="I30" i="15" s="1"/>
  <c r="E31" i="15"/>
  <c r="F31" i="15" s="1"/>
  <c r="G31" i="15" s="1"/>
  <c r="H31" i="15" s="1"/>
  <c r="I31" i="15" s="1"/>
  <c r="E32" i="15"/>
  <c r="F32" i="15"/>
  <c r="G32" i="15" s="1"/>
  <c r="H32" i="15" s="1"/>
  <c r="I32" i="15" s="1"/>
  <c r="E33" i="15"/>
  <c r="F33" i="15" s="1"/>
  <c r="G33" i="15" s="1"/>
  <c r="H33" i="15" s="1"/>
  <c r="I33" i="15" s="1"/>
  <c r="E34" i="15"/>
  <c r="F34" i="15" s="1"/>
  <c r="G34" i="15" s="1"/>
  <c r="H34" i="15" s="1"/>
  <c r="I34" i="15" s="1"/>
  <c r="E35" i="15"/>
  <c r="F35" i="15" s="1"/>
  <c r="G35" i="15" s="1"/>
  <c r="H35" i="15" s="1"/>
  <c r="I35" i="15" s="1"/>
  <c r="E36" i="15"/>
  <c r="F36" i="15"/>
  <c r="G36" i="15" s="1"/>
  <c r="H36" i="15" s="1"/>
  <c r="I36" i="15" s="1"/>
  <c r="E37" i="15"/>
  <c r="F37" i="15" s="1"/>
  <c r="G37" i="15" s="1"/>
  <c r="H37" i="15" s="1"/>
  <c r="I37" i="15" s="1"/>
  <c r="E38" i="15"/>
  <c r="F38" i="15" s="1"/>
  <c r="G38" i="15" s="1"/>
  <c r="H38" i="15" s="1"/>
  <c r="I38" i="15" s="1"/>
  <c r="E39" i="15"/>
  <c r="F39" i="15" s="1"/>
  <c r="G39" i="15" s="1"/>
  <c r="H39" i="15" s="1"/>
  <c r="I39" i="15" s="1"/>
  <c r="E40" i="15"/>
  <c r="F40" i="15"/>
  <c r="G40" i="15" s="1"/>
  <c r="H40" i="15" s="1"/>
  <c r="I40" i="15" s="1"/>
  <c r="E41" i="15"/>
  <c r="F41" i="15" s="1"/>
  <c r="G41" i="15" s="1"/>
  <c r="H41" i="15" s="1"/>
  <c r="I41" i="15" s="1"/>
  <c r="E42" i="15"/>
  <c r="F42" i="15" s="1"/>
  <c r="G42" i="15" s="1"/>
  <c r="H42" i="15" s="1"/>
  <c r="I42" i="15" s="1"/>
  <c r="E43" i="15"/>
  <c r="F43" i="15"/>
  <c r="G43" i="15"/>
  <c r="H43" i="15" s="1"/>
  <c r="I43" i="15" s="1"/>
  <c r="E44" i="15"/>
  <c r="F44" i="15" s="1"/>
  <c r="G44" i="15" s="1"/>
  <c r="H44" i="15" s="1"/>
  <c r="I44" i="15" s="1"/>
  <c r="E45" i="15"/>
  <c r="F45" i="15" s="1"/>
  <c r="G45" i="15" s="1"/>
  <c r="H45" i="15" s="1"/>
  <c r="I45" i="15" s="1"/>
  <c r="E46" i="15"/>
  <c r="F46" i="15" s="1"/>
  <c r="G46" i="15" s="1"/>
  <c r="H46" i="15" s="1"/>
  <c r="I46" i="15" s="1"/>
  <c r="E47" i="15"/>
  <c r="F47" i="15" s="1"/>
  <c r="G47" i="15" s="1"/>
  <c r="H47" i="15" s="1"/>
  <c r="I47" i="15" s="1"/>
  <c r="E48" i="15"/>
  <c r="F48" i="15"/>
  <c r="G48" i="15" s="1"/>
  <c r="H48" i="15" s="1"/>
  <c r="I48" i="15" s="1"/>
  <c r="E49" i="15"/>
  <c r="F49" i="15" s="1"/>
  <c r="G49" i="15" s="1"/>
  <c r="H49" i="15" s="1"/>
  <c r="I49" i="15" s="1"/>
  <c r="E50" i="15"/>
  <c r="F50" i="15" s="1"/>
  <c r="G50" i="15" s="1"/>
  <c r="H50" i="15" s="1"/>
  <c r="I50" i="15" s="1"/>
  <c r="E51" i="15"/>
  <c r="F51" i="15"/>
  <c r="G51" i="15"/>
  <c r="H51" i="15" s="1"/>
  <c r="I51" i="15" s="1"/>
  <c r="E52" i="15"/>
  <c r="F52" i="15" s="1"/>
  <c r="G52" i="15" s="1"/>
  <c r="H52" i="15" s="1"/>
  <c r="I52" i="15" s="1"/>
  <c r="E53" i="15"/>
  <c r="F53" i="15" s="1"/>
  <c r="G53" i="15" s="1"/>
  <c r="H53" i="15" s="1"/>
  <c r="I53" i="15" s="1"/>
  <c r="E54" i="15"/>
  <c r="F54" i="15" s="1"/>
  <c r="G54" i="15" s="1"/>
  <c r="H54" i="15" s="1"/>
  <c r="I54" i="15" s="1"/>
  <c r="E55" i="15"/>
  <c r="F55" i="15" s="1"/>
  <c r="G55" i="15" s="1"/>
  <c r="H55" i="15" s="1"/>
  <c r="I55" i="15" s="1"/>
  <c r="E56" i="15"/>
  <c r="F56" i="15"/>
  <c r="G56" i="15" s="1"/>
  <c r="H56" i="15" s="1"/>
  <c r="I56" i="15" s="1"/>
  <c r="E57" i="15"/>
  <c r="F57" i="15" s="1"/>
  <c r="G57" i="15" s="1"/>
  <c r="H57" i="15" s="1"/>
  <c r="I57" i="15" s="1"/>
  <c r="E58" i="15"/>
  <c r="F58" i="15" s="1"/>
  <c r="G58" i="15" s="1"/>
  <c r="H58" i="15" s="1"/>
  <c r="I58" i="15" s="1"/>
  <c r="E59" i="15"/>
  <c r="F59" i="15"/>
  <c r="G59" i="15"/>
  <c r="H59" i="15" s="1"/>
  <c r="I59" i="15" s="1"/>
  <c r="E60" i="15"/>
  <c r="F60" i="15" s="1"/>
  <c r="G60" i="15" s="1"/>
  <c r="H60" i="15" s="1"/>
  <c r="I60" i="15" s="1"/>
  <c r="E61" i="15"/>
  <c r="F61" i="15" s="1"/>
  <c r="G61" i="15" s="1"/>
  <c r="H61" i="15" s="1"/>
  <c r="I61" i="15" s="1"/>
  <c r="E62" i="15"/>
  <c r="F62" i="15" s="1"/>
  <c r="G62" i="15" s="1"/>
  <c r="H62" i="15" s="1"/>
  <c r="I62" i="15" s="1"/>
  <c r="E63" i="15"/>
  <c r="F63" i="15" s="1"/>
  <c r="G63" i="15" s="1"/>
  <c r="H63" i="15" s="1"/>
  <c r="I63" i="15" s="1"/>
  <c r="E64" i="15"/>
  <c r="F64" i="15" s="1"/>
  <c r="G64" i="15" s="1"/>
  <c r="H64" i="15" s="1"/>
  <c r="I64" i="15" s="1"/>
  <c r="E65" i="15"/>
  <c r="F65" i="15" s="1"/>
  <c r="G65" i="15" s="1"/>
  <c r="H65" i="15" s="1"/>
  <c r="I65" i="15" s="1"/>
  <c r="E66" i="15"/>
  <c r="F66" i="15" s="1"/>
  <c r="G66" i="15" s="1"/>
  <c r="H66" i="15" s="1"/>
  <c r="I66" i="15" s="1"/>
  <c r="E67" i="15"/>
  <c r="F67" i="15"/>
  <c r="G67" i="15"/>
  <c r="H67" i="15" s="1"/>
  <c r="I67" i="15" s="1"/>
  <c r="E68" i="15"/>
  <c r="F68" i="15"/>
  <c r="G68" i="15" s="1"/>
  <c r="H68" i="15" s="1"/>
  <c r="I68" i="15" s="1"/>
  <c r="E69" i="15"/>
  <c r="F69" i="15" s="1"/>
  <c r="G69" i="15" s="1"/>
  <c r="H69" i="15" s="1"/>
  <c r="I69" i="15" s="1"/>
  <c r="E70" i="15"/>
  <c r="F70" i="15" s="1"/>
  <c r="G70" i="15" s="1"/>
  <c r="H70" i="15" s="1"/>
  <c r="I70" i="15" s="1"/>
  <c r="E71" i="15"/>
  <c r="F71" i="15" s="1"/>
  <c r="G71" i="15" s="1"/>
  <c r="H71" i="15" s="1"/>
  <c r="I71" i="15" s="1"/>
  <c r="E72" i="15"/>
  <c r="F72" i="15"/>
  <c r="G72" i="15" s="1"/>
  <c r="H72" i="15" s="1"/>
  <c r="I72" i="15" s="1"/>
  <c r="E73" i="15"/>
  <c r="F73" i="15" s="1"/>
  <c r="G73" i="15" s="1"/>
  <c r="H73" i="15" s="1"/>
  <c r="I73" i="15" s="1"/>
  <c r="E11" i="15"/>
  <c r="F11" i="15" s="1"/>
  <c r="G11" i="15" s="1"/>
  <c r="H11" i="15" s="1"/>
  <c r="I11" i="15" s="1"/>
  <c r="E52" i="13" l="1"/>
  <c r="O52" i="13"/>
  <c r="N26" i="13" l="1"/>
  <c r="M26" i="13"/>
  <c r="L26" i="13"/>
  <c r="K26" i="13"/>
  <c r="J26" i="13"/>
  <c r="I26" i="13"/>
  <c r="H26" i="13"/>
  <c r="G26" i="13"/>
  <c r="N22" i="13"/>
  <c r="M22" i="13"/>
  <c r="L22" i="13"/>
  <c r="K22" i="13"/>
  <c r="J22" i="13"/>
  <c r="I22" i="13"/>
  <c r="H22" i="13"/>
  <c r="G22" i="13"/>
  <c r="N18" i="13"/>
  <c r="M18" i="13"/>
  <c r="L18" i="13"/>
  <c r="K18" i="13"/>
  <c r="J18" i="13"/>
  <c r="I18" i="13"/>
  <c r="H18" i="13"/>
  <c r="G18" i="13"/>
  <c r="N29" i="14"/>
  <c r="M29" i="14"/>
  <c r="L29" i="14"/>
  <c r="K29" i="14"/>
  <c r="J29" i="14"/>
  <c r="I29" i="14"/>
  <c r="H29" i="14"/>
  <c r="G29" i="14"/>
  <c r="N25" i="14"/>
  <c r="M25" i="14"/>
  <c r="L25" i="14"/>
  <c r="K25" i="14"/>
  <c r="J25" i="14"/>
  <c r="I25" i="14"/>
  <c r="H25" i="14"/>
  <c r="G25" i="14"/>
  <c r="N21" i="14"/>
  <c r="M21" i="14"/>
  <c r="L21" i="14"/>
  <c r="K21" i="14"/>
  <c r="J21" i="14"/>
  <c r="I21" i="14"/>
  <c r="H21" i="14"/>
  <c r="G21" i="14"/>
  <c r="N17" i="14"/>
  <c r="M17" i="14"/>
  <c r="L17" i="14"/>
  <c r="K17" i="14"/>
  <c r="J17" i="14"/>
  <c r="I17" i="14"/>
  <c r="H17" i="14"/>
  <c r="G17" i="14"/>
  <c r="D153" i="9" l="1"/>
  <c r="D154" i="9"/>
  <c r="D155" i="9"/>
  <c r="D156" i="9"/>
  <c r="D157" i="9"/>
  <c r="D158" i="9"/>
  <c r="D159" i="9"/>
  <c r="D160" i="9"/>
  <c r="D161" i="9"/>
  <c r="C163" i="9" l="1"/>
  <c r="C164" i="9"/>
  <c r="C165" i="9"/>
  <c r="C166" i="9"/>
  <c r="AF39" i="14" s="1"/>
  <c r="C167" i="9"/>
  <c r="C168" i="9"/>
  <c r="C169" i="9"/>
  <c r="C162" i="9"/>
  <c r="C159" i="9"/>
  <c r="C160" i="9"/>
  <c r="C161" i="9"/>
  <c r="C158" i="9"/>
  <c r="C154" i="9"/>
  <c r="C155" i="9"/>
  <c r="C156" i="9"/>
  <c r="C157" i="9"/>
  <c r="C153" i="9"/>
  <c r="X14" i="14"/>
  <c r="W36" i="14"/>
  <c r="W33" i="14"/>
  <c r="W29" i="14"/>
  <c r="AF29" i="14" s="1"/>
  <c r="W25" i="14"/>
  <c r="AF25" i="14" s="1"/>
  <c r="W21" i="14"/>
  <c r="AF21" i="14" s="1"/>
  <c r="W17" i="14"/>
  <c r="X30" i="14"/>
  <c r="X26" i="14"/>
  <c r="X22" i="14"/>
  <c r="X18" i="14"/>
  <c r="W13" i="14"/>
  <c r="AF13" i="14" s="1"/>
  <c r="C94" i="9"/>
  <c r="U35" i="14"/>
  <c r="U28" i="14"/>
  <c r="U24" i="14"/>
  <c r="U20" i="14"/>
  <c r="U16" i="14"/>
  <c r="U12" i="14"/>
  <c r="G65" i="14"/>
  <c r="G66" i="14" s="1"/>
  <c r="F64" i="14"/>
  <c r="F62" i="14"/>
  <c r="F61" i="14"/>
  <c r="F36" i="14"/>
  <c r="E30" i="14"/>
  <c r="E31" i="14" s="1"/>
  <c r="F29" i="14"/>
  <c r="E26" i="14"/>
  <c r="E27" i="14" s="1"/>
  <c r="F25" i="14"/>
  <c r="E22" i="14"/>
  <c r="E23" i="14" s="1"/>
  <c r="F21" i="14"/>
  <c r="E18" i="14"/>
  <c r="E19" i="14" s="1"/>
  <c r="F17" i="14"/>
  <c r="E14" i="14"/>
  <c r="E15" i="14" s="1"/>
  <c r="F13" i="14"/>
  <c r="G11" i="14"/>
  <c r="G74" i="13"/>
  <c r="O51" i="13"/>
  <c r="O50" i="13"/>
  <c r="AA40" i="14" l="1"/>
  <c r="AB40" i="14"/>
  <c r="AC40" i="14"/>
  <c r="AD40" i="14"/>
  <c r="AE40" i="14"/>
  <c r="Y40" i="14"/>
  <c r="Z40" i="14"/>
  <c r="AF40" i="14"/>
  <c r="AH41" i="14" s="1"/>
  <c r="X37" i="14"/>
  <c r="N44" i="14"/>
  <c r="M44" i="14"/>
  <c r="L44" i="14"/>
  <c r="K44" i="14"/>
  <c r="J44" i="14"/>
  <c r="I44" i="14"/>
  <c r="G43" i="14"/>
  <c r="G44" i="14"/>
  <c r="AC35" i="14"/>
  <c r="AE35" i="14"/>
  <c r="Z35" i="14"/>
  <c r="AD35" i="14"/>
  <c r="AB35" i="14"/>
  <c r="AA35" i="14"/>
  <c r="I33" i="14"/>
  <c r="I34" i="14" s="1"/>
  <c r="AD32" i="14"/>
  <c r="AB32" i="14"/>
  <c r="AC32" i="14"/>
  <c r="AA32" i="14"/>
  <c r="Z32" i="14"/>
  <c r="AE32" i="14"/>
  <c r="AD16" i="14"/>
  <c r="AE16" i="14"/>
  <c r="AC16" i="14"/>
  <c r="AB16" i="14"/>
  <c r="AA16" i="14"/>
  <c r="Z16" i="14"/>
  <c r="AA20" i="14"/>
  <c r="AA22" i="14" s="1"/>
  <c r="AE20" i="14"/>
  <c r="AE22" i="14" s="1"/>
  <c r="AD20" i="14"/>
  <c r="AD22" i="14" s="1"/>
  <c r="Z20" i="14"/>
  <c r="Z22" i="14" s="1"/>
  <c r="AC20" i="14"/>
  <c r="AC22" i="14" s="1"/>
  <c r="AB20" i="14"/>
  <c r="AB22" i="14" s="1"/>
  <c r="AC24" i="14"/>
  <c r="AC26" i="14" s="1"/>
  <c r="AA24" i="14"/>
  <c r="AA26" i="14" s="1"/>
  <c r="Z24" i="14"/>
  <c r="Z26" i="14" s="1"/>
  <c r="AB24" i="14"/>
  <c r="AB26" i="14" s="1"/>
  <c r="AE24" i="14"/>
  <c r="AE26" i="14" s="1"/>
  <c r="AD24" i="14"/>
  <c r="AD26" i="14" s="1"/>
  <c r="AF12" i="14"/>
  <c r="AF14" i="14" s="1"/>
  <c r="AE28" i="14"/>
  <c r="AE30" i="14" s="1"/>
  <c r="AD28" i="14"/>
  <c r="AD30" i="14" s="1"/>
  <c r="AB28" i="14"/>
  <c r="AB30" i="14" s="1"/>
  <c r="Z28" i="14"/>
  <c r="Z30" i="14" s="1"/>
  <c r="AA28" i="14"/>
  <c r="AA30" i="14" s="1"/>
  <c r="AC28" i="14"/>
  <c r="AC30" i="14" s="1"/>
  <c r="AF30" i="14"/>
  <c r="AF26" i="14"/>
  <c r="AE12" i="14"/>
  <c r="AE14" i="14" s="1"/>
  <c r="AD12" i="14"/>
  <c r="AD14" i="14" s="1"/>
  <c r="AC12" i="14"/>
  <c r="AC14" i="14" s="1"/>
  <c r="AB12" i="14"/>
  <c r="AB14" i="14" s="1"/>
  <c r="AA12" i="14"/>
  <c r="AA14" i="14" s="1"/>
  <c r="Z12" i="14"/>
  <c r="Z14" i="14" s="1"/>
  <c r="AF17" i="14"/>
  <c r="AF16" i="14"/>
  <c r="AH17" i="14" s="1"/>
  <c r="AG16" i="14"/>
  <c r="AF20" i="14"/>
  <c r="AH21" i="14" s="1"/>
  <c r="AG20" i="14"/>
  <c r="AF35" i="14"/>
  <c r="AH36" i="14" s="1"/>
  <c r="AG35" i="14"/>
  <c r="AF24" i="14"/>
  <c r="AH25" i="14" s="1"/>
  <c r="AG24" i="14"/>
  <c r="AG12" i="14"/>
  <c r="AF28" i="14"/>
  <c r="AH29" i="14" s="1"/>
  <c r="AG28" i="14"/>
  <c r="AG32" i="14"/>
  <c r="AF32" i="14"/>
  <c r="AH33" i="14" s="1"/>
  <c r="AF33" i="14"/>
  <c r="R24" i="14"/>
  <c r="AF22" i="14"/>
  <c r="R16" i="14"/>
  <c r="I36" i="14"/>
  <c r="R28" i="14"/>
  <c r="AF36" i="14"/>
  <c r="R20" i="14"/>
  <c r="R12" i="14"/>
  <c r="R35" i="14"/>
  <c r="H11" i="14"/>
  <c r="Y14" i="14" s="1"/>
  <c r="I11" i="14"/>
  <c r="F3" i="13"/>
  <c r="O44" i="14" l="1"/>
  <c r="AH13" i="14"/>
  <c r="J33" i="14"/>
  <c r="AA37" i="14"/>
  <c r="AB37" i="14"/>
  <c r="AC37" i="14"/>
  <c r="AE37" i="14"/>
  <c r="Y37" i="14"/>
  <c r="AD37" i="14"/>
  <c r="Z37" i="14"/>
  <c r="AE34" i="14"/>
  <c r="AD34" i="14"/>
  <c r="AC34" i="14"/>
  <c r="Y34" i="14"/>
  <c r="AB34" i="14"/>
  <c r="AA34" i="14"/>
  <c r="Z34" i="14"/>
  <c r="AF18" i="14"/>
  <c r="AH19" i="14" s="1"/>
  <c r="AD18" i="14"/>
  <c r="AC18" i="14"/>
  <c r="AE18" i="14"/>
  <c r="AB18" i="14"/>
  <c r="AA18" i="14"/>
  <c r="Z18" i="14"/>
  <c r="AH37" i="14"/>
  <c r="AH15" i="14"/>
  <c r="AH31" i="14"/>
  <c r="AH34" i="14"/>
  <c r="AH27" i="14"/>
  <c r="AH23" i="14"/>
  <c r="J34" i="14"/>
  <c r="K33" i="14"/>
  <c r="J11" i="14"/>
  <c r="F64" i="13"/>
  <c r="F71" i="13"/>
  <c r="F68" i="13"/>
  <c r="F67" i="13"/>
  <c r="F30" i="13"/>
  <c r="F26" i="13"/>
  <c r="F22" i="13"/>
  <c r="F18" i="13"/>
  <c r="F14" i="13"/>
  <c r="D64" i="13"/>
  <c r="G63" i="13" s="1"/>
  <c r="E64" i="13"/>
  <c r="E23" i="13"/>
  <c r="E24" i="13" s="1"/>
  <c r="Q21" i="13"/>
  <c r="R21" i="13" s="1"/>
  <c r="M12" i="13"/>
  <c r="AH47" i="14" l="1"/>
  <c r="I37" i="14"/>
  <c r="I43" i="14" s="1"/>
  <c r="J36" i="14"/>
  <c r="K34" i="14"/>
  <c r="L33" i="14"/>
  <c r="H63" i="13"/>
  <c r="I63" i="13"/>
  <c r="E19" i="13"/>
  <c r="E20" i="13" s="1"/>
  <c r="Q17" i="13"/>
  <c r="R17" i="13" s="1"/>
  <c r="Q36" i="13"/>
  <c r="Q33" i="13"/>
  <c r="Q29" i="13"/>
  <c r="R29" i="13" s="1"/>
  <c r="R43" i="13" s="1"/>
  <c r="Q25" i="13"/>
  <c r="R25" i="13" s="1"/>
  <c r="Q13" i="13"/>
  <c r="R13" i="13" s="1"/>
  <c r="F37" i="13"/>
  <c r="F34" i="13"/>
  <c r="E31" i="13"/>
  <c r="E32" i="13" s="1"/>
  <c r="E27" i="13"/>
  <c r="E28" i="13" s="1"/>
  <c r="E15" i="13"/>
  <c r="E16" i="13" s="1"/>
  <c r="R44" i="13" l="1"/>
  <c r="R45" i="13"/>
  <c r="G45" i="13"/>
  <c r="G44" i="13"/>
  <c r="J45" i="13"/>
  <c r="M45" i="13"/>
  <c r="N45" i="13"/>
  <c r="L45" i="13"/>
  <c r="I45" i="13"/>
  <c r="K45" i="13"/>
  <c r="AH56" i="14"/>
  <c r="O64" i="14" s="1"/>
  <c r="K11" i="14"/>
  <c r="J37" i="14"/>
  <c r="J43" i="14" s="1"/>
  <c r="K36" i="14"/>
  <c r="M11" i="14"/>
  <c r="L34" i="14"/>
  <c r="M33" i="14"/>
  <c r="R33" i="13"/>
  <c r="R36" i="13"/>
  <c r="I12" i="13"/>
  <c r="F60" i="13"/>
  <c r="F61" i="13"/>
  <c r="F73" i="13"/>
  <c r="G75" i="13"/>
  <c r="R48" i="13" l="1"/>
  <c r="O45" i="13"/>
  <c r="AB70" i="14"/>
  <c r="Y70" i="14"/>
  <c r="K37" i="14"/>
  <c r="K43" i="14" s="1"/>
  <c r="L36" i="14"/>
  <c r="L11" i="14"/>
  <c r="N11" i="14"/>
  <c r="N34" i="14"/>
  <c r="N33" i="14"/>
  <c r="P33" i="14" s="1"/>
  <c r="H12" i="13"/>
  <c r="G12" i="13"/>
  <c r="J12" i="13"/>
  <c r="O34" i="14" l="1"/>
  <c r="N36" i="14"/>
  <c r="L37" i="14"/>
  <c r="L43" i="14" s="1"/>
  <c r="M36" i="14"/>
  <c r="M37" i="14" s="1"/>
  <c r="M43" i="14" s="1"/>
  <c r="K12" i="13"/>
  <c r="M28" i="10"/>
  <c r="M118" i="10"/>
  <c r="M5" i="10"/>
  <c r="J7" i="9"/>
  <c r="K7" i="9"/>
  <c r="L7" i="9"/>
  <c r="J8" i="9"/>
  <c r="K8" i="9"/>
  <c r="L8" i="9"/>
  <c r="J9" i="9"/>
  <c r="K9" i="9"/>
  <c r="L9" i="9"/>
  <c r="J10" i="9"/>
  <c r="K10" i="9"/>
  <c r="L10" i="9"/>
  <c r="K6" i="9"/>
  <c r="L6" i="9"/>
  <c r="J6" i="9"/>
  <c r="I7" i="9"/>
  <c r="I8" i="9"/>
  <c r="I9" i="9"/>
  <c r="I6" i="9"/>
  <c r="N37" i="14" l="1"/>
  <c r="N43" i="14" s="1"/>
  <c r="O43" i="14" s="1"/>
  <c r="P36" i="14"/>
  <c r="O37" i="14"/>
  <c r="I23" i="13"/>
  <c r="I24" i="13" s="1"/>
  <c r="H23" i="13"/>
  <c r="H24" i="13" s="1"/>
  <c r="N23" i="13"/>
  <c r="N24" i="13" s="1"/>
  <c r="J23" i="13"/>
  <c r="J24" i="13" s="1"/>
  <c r="M23" i="13"/>
  <c r="M24" i="13" s="1"/>
  <c r="L23" i="13"/>
  <c r="L24" i="13" s="1"/>
  <c r="K23" i="13"/>
  <c r="K24" i="13" s="1"/>
  <c r="M19" i="13"/>
  <c r="M20" i="13" s="1"/>
  <c r="M27" i="13"/>
  <c r="M28" i="13" s="1"/>
  <c r="H19" i="13"/>
  <c r="H20" i="13" s="1"/>
  <c r="H27" i="13"/>
  <c r="H28" i="13" s="1"/>
  <c r="I19" i="13"/>
  <c r="I20" i="13" s="1"/>
  <c r="I27" i="13"/>
  <c r="I28" i="13" s="1"/>
  <c r="I35" i="13"/>
  <c r="I44" i="13" s="1"/>
  <c r="J34" i="13"/>
  <c r="I38" i="13"/>
  <c r="J37" i="13"/>
  <c r="C16" i="12"/>
  <c r="J38" i="13" l="1"/>
  <c r="K37" i="13"/>
  <c r="J35" i="13"/>
  <c r="J44" i="13" s="1"/>
  <c r="K34" i="13"/>
  <c r="L12" i="13"/>
  <c r="N12" i="13"/>
  <c r="D19" i="12"/>
  <c r="K35" i="13" l="1"/>
  <c r="L34" i="13"/>
  <c r="K38" i="13"/>
  <c r="L37" i="13"/>
  <c r="C44" i="12"/>
  <c r="F12" i="12"/>
  <c r="F20" i="12"/>
  <c r="F18" i="12"/>
  <c r="F19" i="12"/>
  <c r="F13" i="12"/>
  <c r="F14" i="12"/>
  <c r="C36" i="12"/>
  <c r="D36" i="12" s="1"/>
  <c r="E36" i="12" s="1"/>
  <c r="C37" i="12"/>
  <c r="D37" i="12" s="1"/>
  <c r="E37" i="12" s="1"/>
  <c r="C35" i="12"/>
  <c r="C29" i="12"/>
  <c r="C30" i="12"/>
  <c r="C31" i="12"/>
  <c r="C32" i="12"/>
  <c r="C33" i="12"/>
  <c r="C28" i="12"/>
  <c r="C51" i="12"/>
  <c r="C52" i="12" s="1"/>
  <c r="C41" i="12" s="1"/>
  <c r="D20" i="12"/>
  <c r="E18" i="12"/>
  <c r="D18" i="12"/>
  <c r="E22" i="12"/>
  <c r="D22" i="12"/>
  <c r="B14" i="12"/>
  <c r="B13" i="12"/>
  <c r="B12" i="12"/>
  <c r="E19" i="12"/>
  <c r="E26" i="12"/>
  <c r="D26" i="12"/>
  <c r="I3" i="10"/>
  <c r="H3" i="10"/>
  <c r="G3" i="10"/>
  <c r="F3" i="10"/>
  <c r="E3" i="10"/>
  <c r="L28" i="10"/>
  <c r="L118" i="10"/>
  <c r="L5" i="10"/>
  <c r="K44" i="13" l="1"/>
  <c r="M37" i="13"/>
  <c r="M38" i="13" s="1"/>
  <c r="L38" i="13"/>
  <c r="N37" i="13"/>
  <c r="N38" i="13" s="1"/>
  <c r="L35" i="13"/>
  <c r="M34" i="13"/>
  <c r="M35" i="13" s="1"/>
  <c r="C34" i="12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N28" i="10" s="1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N118" i="10" s="1"/>
  <c r="E6" i="10"/>
  <c r="E7" i="10"/>
  <c r="E5" i="10"/>
  <c r="N5" i="10" s="1"/>
  <c r="C65" i="9"/>
  <c r="C46" i="12"/>
  <c r="L44" i="13" l="1"/>
  <c r="M44" i="13"/>
  <c r="P37" i="13"/>
  <c r="M14" i="10"/>
  <c r="M22" i="10"/>
  <c r="M30" i="10"/>
  <c r="M38" i="10"/>
  <c r="M46" i="10"/>
  <c r="M54" i="10"/>
  <c r="M62" i="10"/>
  <c r="M70" i="10"/>
  <c r="M78" i="10"/>
  <c r="M86" i="10"/>
  <c r="M94" i="10"/>
  <c r="M102" i="10"/>
  <c r="M110" i="10"/>
  <c r="M43" i="10"/>
  <c r="M83" i="10"/>
  <c r="M45" i="10"/>
  <c r="M93" i="10"/>
  <c r="M15" i="10"/>
  <c r="M23" i="10"/>
  <c r="M31" i="10"/>
  <c r="M39" i="10"/>
  <c r="M47" i="10"/>
  <c r="M55" i="10"/>
  <c r="M63" i="10"/>
  <c r="M71" i="10"/>
  <c r="M79" i="10"/>
  <c r="M87" i="10"/>
  <c r="M95" i="10"/>
  <c r="M103" i="10"/>
  <c r="M111" i="10"/>
  <c r="M6" i="10"/>
  <c r="M35" i="10"/>
  <c r="M67" i="10"/>
  <c r="M107" i="10"/>
  <c r="M61" i="10"/>
  <c r="M117" i="10"/>
  <c r="M16" i="10"/>
  <c r="M24" i="10"/>
  <c r="M32" i="10"/>
  <c r="M40" i="10"/>
  <c r="M48" i="10"/>
  <c r="M56" i="10"/>
  <c r="M64" i="10"/>
  <c r="M72" i="10"/>
  <c r="M80" i="10"/>
  <c r="M88" i="10"/>
  <c r="M96" i="10"/>
  <c r="M104" i="10"/>
  <c r="M112" i="10"/>
  <c r="M7" i="10"/>
  <c r="M27" i="10"/>
  <c r="M75" i="10"/>
  <c r="M115" i="10"/>
  <c r="M101" i="10"/>
  <c r="M17" i="10"/>
  <c r="M25" i="10"/>
  <c r="M33" i="10"/>
  <c r="M41" i="10"/>
  <c r="M49" i="10"/>
  <c r="M57" i="10"/>
  <c r="M65" i="10"/>
  <c r="M73" i="10"/>
  <c r="M81" i="10"/>
  <c r="M89" i="10"/>
  <c r="M97" i="10"/>
  <c r="M105" i="10"/>
  <c r="M113" i="10"/>
  <c r="M8" i="10"/>
  <c r="M19" i="10"/>
  <c r="M59" i="10"/>
  <c r="M99" i="10"/>
  <c r="M53" i="10"/>
  <c r="M85" i="10"/>
  <c r="M18" i="10"/>
  <c r="M26" i="10"/>
  <c r="M34" i="10"/>
  <c r="M42" i="10"/>
  <c r="M50" i="10"/>
  <c r="M58" i="10"/>
  <c r="M66" i="10"/>
  <c r="M74" i="10"/>
  <c r="M82" i="10"/>
  <c r="M90" i="10"/>
  <c r="M98" i="10"/>
  <c r="M106" i="10"/>
  <c r="M114" i="10"/>
  <c r="M9" i="10"/>
  <c r="M11" i="10"/>
  <c r="M51" i="10"/>
  <c r="M91" i="10"/>
  <c r="M10" i="10"/>
  <c r="M69" i="10"/>
  <c r="M109" i="10"/>
  <c r="M12" i="10"/>
  <c r="M20" i="10"/>
  <c r="M36" i="10"/>
  <c r="M44" i="10"/>
  <c r="M52" i="10"/>
  <c r="M60" i="10"/>
  <c r="M68" i="10"/>
  <c r="M76" i="10"/>
  <c r="M84" i="10"/>
  <c r="M92" i="10"/>
  <c r="M100" i="10"/>
  <c r="M108" i="10"/>
  <c r="M116" i="10"/>
  <c r="M13" i="10"/>
  <c r="M21" i="10"/>
  <c r="M29" i="10"/>
  <c r="M37" i="10"/>
  <c r="M77" i="10"/>
  <c r="O38" i="13"/>
  <c r="N35" i="13"/>
  <c r="N44" i="13" s="1"/>
  <c r="N34" i="13"/>
  <c r="P34" i="13" s="1"/>
  <c r="F61" i="10"/>
  <c r="N61" i="10"/>
  <c r="F110" i="10"/>
  <c r="N110" i="10"/>
  <c r="F62" i="10"/>
  <c r="N62" i="10"/>
  <c r="F38" i="10"/>
  <c r="N38" i="10"/>
  <c r="F117" i="10"/>
  <c r="N117" i="10"/>
  <c r="F93" i="10"/>
  <c r="N93" i="10"/>
  <c r="F77" i="10"/>
  <c r="N77" i="10"/>
  <c r="F53" i="10"/>
  <c r="N53" i="10"/>
  <c r="F37" i="10"/>
  <c r="N37" i="10"/>
  <c r="F29" i="10"/>
  <c r="N29" i="10"/>
  <c r="F21" i="10"/>
  <c r="N21" i="10"/>
  <c r="F108" i="10"/>
  <c r="N108" i="10"/>
  <c r="F100" i="10"/>
  <c r="N100" i="10"/>
  <c r="F92" i="10"/>
  <c r="N92" i="10"/>
  <c r="F84" i="10"/>
  <c r="N84" i="10"/>
  <c r="F76" i="10"/>
  <c r="N76" i="10"/>
  <c r="F68" i="10"/>
  <c r="N68" i="10"/>
  <c r="F60" i="10"/>
  <c r="N60" i="10"/>
  <c r="F52" i="10"/>
  <c r="N52" i="10"/>
  <c r="F44" i="10"/>
  <c r="N44" i="10"/>
  <c r="F36" i="10"/>
  <c r="N36" i="10"/>
  <c r="F20" i="10"/>
  <c r="N20" i="10"/>
  <c r="F12" i="10"/>
  <c r="N12" i="10"/>
  <c r="F86" i="10"/>
  <c r="N86" i="10"/>
  <c r="F54" i="10"/>
  <c r="N54" i="10"/>
  <c r="F22" i="10"/>
  <c r="N22" i="10"/>
  <c r="F101" i="10"/>
  <c r="N101" i="10"/>
  <c r="F85" i="10"/>
  <c r="N85" i="10"/>
  <c r="F45" i="10"/>
  <c r="N45" i="10"/>
  <c r="F13" i="10"/>
  <c r="N13" i="10"/>
  <c r="F116" i="10"/>
  <c r="N116" i="10"/>
  <c r="F115" i="10"/>
  <c r="N115" i="10"/>
  <c r="F107" i="10"/>
  <c r="N107" i="10"/>
  <c r="F99" i="10"/>
  <c r="N99" i="10"/>
  <c r="F91" i="10"/>
  <c r="N91" i="10"/>
  <c r="F83" i="10"/>
  <c r="N83" i="10"/>
  <c r="F75" i="10"/>
  <c r="N75" i="10"/>
  <c r="F67" i="10"/>
  <c r="N67" i="10"/>
  <c r="F59" i="10"/>
  <c r="N59" i="10"/>
  <c r="F51" i="10"/>
  <c r="N51" i="10"/>
  <c r="F43" i="10"/>
  <c r="N43" i="10"/>
  <c r="F35" i="10"/>
  <c r="N35" i="10"/>
  <c r="F27" i="10"/>
  <c r="N27" i="10"/>
  <c r="F19" i="10"/>
  <c r="N19" i="10"/>
  <c r="F11" i="10"/>
  <c r="N11" i="10"/>
  <c r="F102" i="10"/>
  <c r="N102" i="10"/>
  <c r="F70" i="10"/>
  <c r="N70" i="10"/>
  <c r="F46" i="10"/>
  <c r="N46" i="10"/>
  <c r="F109" i="10"/>
  <c r="N109" i="10"/>
  <c r="F69" i="10"/>
  <c r="N69" i="10"/>
  <c r="F114" i="10"/>
  <c r="N114" i="10"/>
  <c r="F106" i="10"/>
  <c r="N106" i="10"/>
  <c r="F98" i="10"/>
  <c r="N98" i="10"/>
  <c r="F90" i="10"/>
  <c r="N90" i="10"/>
  <c r="F82" i="10"/>
  <c r="N82" i="10"/>
  <c r="F74" i="10"/>
  <c r="N74" i="10"/>
  <c r="F66" i="10"/>
  <c r="N66" i="10"/>
  <c r="F58" i="10"/>
  <c r="N58" i="10"/>
  <c r="F50" i="10"/>
  <c r="N50" i="10"/>
  <c r="F42" i="10"/>
  <c r="N42" i="10"/>
  <c r="F34" i="10"/>
  <c r="N34" i="10"/>
  <c r="F26" i="10"/>
  <c r="N26" i="10"/>
  <c r="F18" i="10"/>
  <c r="N18" i="10"/>
  <c r="F10" i="10"/>
  <c r="N10" i="10"/>
  <c r="F49" i="10"/>
  <c r="N49" i="10"/>
  <c r="F41" i="10"/>
  <c r="N41" i="10"/>
  <c r="F33" i="10"/>
  <c r="N33" i="10"/>
  <c r="F25" i="10"/>
  <c r="N25" i="10"/>
  <c r="F17" i="10"/>
  <c r="N17" i="10"/>
  <c r="F9" i="10"/>
  <c r="N9" i="10"/>
  <c r="F94" i="10"/>
  <c r="N94" i="10"/>
  <c r="F14" i="10"/>
  <c r="N14" i="10"/>
  <c r="F113" i="10"/>
  <c r="N113" i="10"/>
  <c r="F112" i="10"/>
  <c r="N112" i="10"/>
  <c r="F104" i="10"/>
  <c r="N104" i="10"/>
  <c r="F96" i="10"/>
  <c r="N96" i="10"/>
  <c r="F88" i="10"/>
  <c r="N88" i="10"/>
  <c r="F80" i="10"/>
  <c r="N80" i="10"/>
  <c r="F72" i="10"/>
  <c r="N72" i="10"/>
  <c r="F64" i="10"/>
  <c r="N64" i="10"/>
  <c r="F56" i="10"/>
  <c r="N56" i="10"/>
  <c r="F48" i="10"/>
  <c r="N48" i="10"/>
  <c r="F40" i="10"/>
  <c r="N40" i="10"/>
  <c r="F32" i="10"/>
  <c r="N32" i="10"/>
  <c r="F24" i="10"/>
  <c r="N24" i="10"/>
  <c r="F16" i="10"/>
  <c r="N16" i="10"/>
  <c r="F8" i="10"/>
  <c r="N8" i="10"/>
  <c r="F78" i="10"/>
  <c r="N78" i="10"/>
  <c r="F30" i="10"/>
  <c r="N30" i="10"/>
  <c r="F105" i="10"/>
  <c r="N105" i="10"/>
  <c r="F97" i="10"/>
  <c r="N97" i="10"/>
  <c r="F89" i="10"/>
  <c r="N89" i="10"/>
  <c r="F81" i="10"/>
  <c r="N81" i="10"/>
  <c r="F73" i="10"/>
  <c r="N73" i="10"/>
  <c r="F65" i="10"/>
  <c r="N65" i="10"/>
  <c r="F57" i="10"/>
  <c r="N57" i="10"/>
  <c r="F7" i="10"/>
  <c r="N7" i="10"/>
  <c r="F6" i="10"/>
  <c r="N6" i="10"/>
  <c r="F111" i="10"/>
  <c r="N111" i="10"/>
  <c r="F103" i="10"/>
  <c r="N103" i="10"/>
  <c r="F95" i="10"/>
  <c r="N95" i="10"/>
  <c r="F87" i="10"/>
  <c r="N87" i="10"/>
  <c r="F79" i="10"/>
  <c r="N79" i="10"/>
  <c r="F71" i="10"/>
  <c r="N71" i="10"/>
  <c r="F63" i="10"/>
  <c r="N63" i="10"/>
  <c r="F55" i="10"/>
  <c r="N55" i="10"/>
  <c r="F47" i="10"/>
  <c r="N47" i="10"/>
  <c r="F39" i="10"/>
  <c r="N39" i="10"/>
  <c r="F31" i="10"/>
  <c r="N31" i="10"/>
  <c r="J13" i="14" s="1"/>
  <c r="F23" i="10"/>
  <c r="N23" i="10"/>
  <c r="F15" i="10"/>
  <c r="N15" i="10"/>
  <c r="D27" i="12"/>
  <c r="F118" i="10"/>
  <c r="O118" i="10" s="1"/>
  <c r="F5" i="10"/>
  <c r="O5" i="10" s="1"/>
  <c r="F28" i="10"/>
  <c r="O28" i="10" s="1"/>
  <c r="L7" i="10"/>
  <c r="L15" i="10"/>
  <c r="L23" i="10"/>
  <c r="L31" i="10"/>
  <c r="G13" i="14" s="1"/>
  <c r="L39" i="10"/>
  <c r="L47" i="10"/>
  <c r="L55" i="10"/>
  <c r="L63" i="10"/>
  <c r="L71" i="10"/>
  <c r="L79" i="10"/>
  <c r="L87" i="10"/>
  <c r="L95" i="10"/>
  <c r="L103" i="10"/>
  <c r="L14" i="10"/>
  <c r="L22" i="10"/>
  <c r="L30" i="10"/>
  <c r="L38" i="10"/>
  <c r="L46" i="10"/>
  <c r="L54" i="10"/>
  <c r="L62" i="10"/>
  <c r="L70" i="10"/>
  <c r="L78" i="10"/>
  <c r="L86" i="10"/>
  <c r="L94" i="10"/>
  <c r="L102" i="10"/>
  <c r="L13" i="10"/>
  <c r="L21" i="10"/>
  <c r="L29" i="10"/>
  <c r="L37" i="10"/>
  <c r="L45" i="10"/>
  <c r="L53" i="10"/>
  <c r="L61" i="10"/>
  <c r="L69" i="10"/>
  <c r="L77" i="10"/>
  <c r="L85" i="10"/>
  <c r="L93" i="10"/>
  <c r="L101" i="10"/>
  <c r="L11" i="10"/>
  <c r="L19" i="10"/>
  <c r="L27" i="10"/>
  <c r="L35" i="10"/>
  <c r="L10" i="10"/>
  <c r="L18" i="10"/>
  <c r="L26" i="10"/>
  <c r="L34" i="10"/>
  <c r="L42" i="10"/>
  <c r="L50" i="10"/>
  <c r="L58" i="10"/>
  <c r="L66" i="10"/>
  <c r="L74" i="10"/>
  <c r="L82" i="10"/>
  <c r="L90" i="10"/>
  <c r="L9" i="10"/>
  <c r="L17" i="10"/>
  <c r="L25" i="10"/>
  <c r="L33" i="10"/>
  <c r="L41" i="10"/>
  <c r="L49" i="10"/>
  <c r="L57" i="10"/>
  <c r="L65" i="10"/>
  <c r="L73" i="10"/>
  <c r="L81" i="10"/>
  <c r="L89" i="10"/>
  <c r="L8" i="10"/>
  <c r="L16" i="10"/>
  <c r="L24" i="10"/>
  <c r="L32" i="10"/>
  <c r="L40" i="10"/>
  <c r="L48" i="10"/>
  <c r="L56" i="10"/>
  <c r="L64" i="10"/>
  <c r="L72" i="10"/>
  <c r="L80" i="10"/>
  <c r="L88" i="10"/>
  <c r="L96" i="10"/>
  <c r="L104" i="10"/>
  <c r="L67" i="10"/>
  <c r="L111" i="10"/>
  <c r="L99" i="10"/>
  <c r="L68" i="10"/>
  <c r="L97" i="10"/>
  <c r="L110" i="10"/>
  <c r="L59" i="10"/>
  <c r="L100" i="10"/>
  <c r="L109" i="10"/>
  <c r="L117" i="10"/>
  <c r="L20" i="10"/>
  <c r="L60" i="10"/>
  <c r="S61" i="10" s="1"/>
  <c r="L91" i="10"/>
  <c r="L108" i="10"/>
  <c r="L116" i="10"/>
  <c r="L36" i="10"/>
  <c r="L12" i="10"/>
  <c r="L51" i="10"/>
  <c r="L83" i="10"/>
  <c r="L98" i="10"/>
  <c r="L107" i="10"/>
  <c r="L115" i="10"/>
  <c r="L76" i="10"/>
  <c r="L52" i="10"/>
  <c r="L84" i="10"/>
  <c r="L106" i="10"/>
  <c r="L114" i="10"/>
  <c r="L6" i="10"/>
  <c r="L112" i="10"/>
  <c r="L43" i="10"/>
  <c r="L75" i="10"/>
  <c r="L92" i="10"/>
  <c r="S93" i="10" s="1"/>
  <c r="L105" i="10"/>
  <c r="L113" i="10"/>
  <c r="L44" i="10"/>
  <c r="S76" i="10" l="1"/>
  <c r="S53" i="10"/>
  <c r="G14" i="13"/>
  <c r="G30" i="13"/>
  <c r="P30" i="13" s="1"/>
  <c r="N30" i="13"/>
  <c r="M30" i="13"/>
  <c r="M31" i="13" s="1"/>
  <c r="M32" i="13" s="1"/>
  <c r="L30" i="13"/>
  <c r="K30" i="13"/>
  <c r="J30" i="13"/>
  <c r="J31" i="13" s="1"/>
  <c r="J32" i="13" s="1"/>
  <c r="I30" i="13"/>
  <c r="I31" i="13" s="1"/>
  <c r="I32" i="13" s="1"/>
  <c r="H30" i="13"/>
  <c r="H31" i="13" s="1"/>
  <c r="H32" i="13" s="1"/>
  <c r="O44" i="13"/>
  <c r="S7" i="10"/>
  <c r="S69" i="10"/>
  <c r="S101" i="10"/>
  <c r="S37" i="10"/>
  <c r="S19" i="10"/>
  <c r="S86" i="10"/>
  <c r="S22" i="10"/>
  <c r="S55" i="10"/>
  <c r="S89" i="10"/>
  <c r="S50" i="10"/>
  <c r="S44" i="10"/>
  <c r="S99" i="10"/>
  <c r="S64" i="10"/>
  <c r="S114" i="10"/>
  <c r="S12" i="10"/>
  <c r="S48" i="10"/>
  <c r="S47" i="10"/>
  <c r="S111" i="10"/>
  <c r="S78" i="10"/>
  <c r="S9" i="10"/>
  <c r="S109" i="10"/>
  <c r="S11" i="10"/>
  <c r="S14" i="10"/>
  <c r="S73" i="10"/>
  <c r="S70" i="10"/>
  <c r="S97" i="10"/>
  <c r="S103" i="10"/>
  <c r="S39" i="10"/>
  <c r="S62" i="10"/>
  <c r="I13" i="14"/>
  <c r="H13" i="14"/>
  <c r="S31" i="10"/>
  <c r="S95" i="10"/>
  <c r="H14" i="13"/>
  <c r="H15" i="13" s="1"/>
  <c r="H16" i="13" s="1"/>
  <c r="I14" i="13"/>
  <c r="I15" i="13" s="1"/>
  <c r="I16" i="13" s="1"/>
  <c r="N14" i="13"/>
  <c r="M14" i="13"/>
  <c r="M15" i="13" s="1"/>
  <c r="M16" i="13" s="1"/>
  <c r="J14" i="13"/>
  <c r="J15" i="13" s="1"/>
  <c r="J16" i="13" s="1"/>
  <c r="K14" i="13"/>
  <c r="L14" i="13"/>
  <c r="S77" i="10"/>
  <c r="S117" i="10"/>
  <c r="S60" i="10"/>
  <c r="S33" i="10"/>
  <c r="M69" i="13" s="1"/>
  <c r="S58" i="10"/>
  <c r="S83" i="10"/>
  <c r="S88" i="10"/>
  <c r="S112" i="10"/>
  <c r="S107" i="10"/>
  <c r="S105" i="10"/>
  <c r="S41" i="10"/>
  <c r="S66" i="10"/>
  <c r="S46" i="10"/>
  <c r="S15" i="10"/>
  <c r="S79" i="10"/>
  <c r="G14" i="14"/>
  <c r="G18" i="14"/>
  <c r="G22" i="14"/>
  <c r="G26" i="14"/>
  <c r="G30" i="14"/>
  <c r="S67" i="10"/>
  <c r="S116" i="10"/>
  <c r="S75" i="10"/>
  <c r="S80" i="10"/>
  <c r="S16" i="10"/>
  <c r="S113" i="10"/>
  <c r="S108" i="10"/>
  <c r="S92" i="10"/>
  <c r="S98" i="10"/>
  <c r="S81" i="10"/>
  <c r="S17" i="10"/>
  <c r="S42" i="10"/>
  <c r="S36" i="10"/>
  <c r="S72" i="10"/>
  <c r="S8" i="10"/>
  <c r="S34" i="10"/>
  <c r="G23" i="13"/>
  <c r="G24" i="13" s="1"/>
  <c r="G31" i="13"/>
  <c r="G32" i="13" s="1"/>
  <c r="G27" i="13"/>
  <c r="G28" i="13" s="1"/>
  <c r="S59" i="10"/>
  <c r="S45" i="10"/>
  <c r="S115" i="10"/>
  <c r="S84" i="10"/>
  <c r="S21" i="10"/>
  <c r="S100" i="10"/>
  <c r="S65" i="10"/>
  <c r="S90" i="10"/>
  <c r="S26" i="10"/>
  <c r="S51" i="10"/>
  <c r="S20" i="10"/>
  <c r="S54" i="10"/>
  <c r="S87" i="10"/>
  <c r="S56" i="10"/>
  <c r="S82" i="10"/>
  <c r="S52" i="10"/>
  <c r="S57" i="10"/>
  <c r="S18" i="10"/>
  <c r="S43" i="10"/>
  <c r="S106" i="10"/>
  <c r="S85" i="10"/>
  <c r="S13" i="10"/>
  <c r="S110" i="10"/>
  <c r="S68" i="10"/>
  <c r="S49" i="10"/>
  <c r="S74" i="10"/>
  <c r="S10" i="10"/>
  <c r="S35" i="10"/>
  <c r="S102" i="10"/>
  <c r="S38" i="10"/>
  <c r="S71" i="10"/>
  <c r="S104" i="10"/>
  <c r="S40" i="10"/>
  <c r="O35" i="13"/>
  <c r="S91" i="10"/>
  <c r="S27" i="10"/>
  <c r="S94" i="10"/>
  <c r="S30" i="10"/>
  <c r="S63" i="10"/>
  <c r="S96" i="10"/>
  <c r="S32" i="10"/>
  <c r="S25" i="10"/>
  <c r="S24" i="10"/>
  <c r="S23" i="10"/>
  <c r="G15" i="13"/>
  <c r="G16" i="13" s="1"/>
  <c r="G43" i="13" s="1"/>
  <c r="G19" i="13"/>
  <c r="G20" i="13" s="1"/>
  <c r="J19" i="13"/>
  <c r="J20" i="13" s="1"/>
  <c r="J27" i="13"/>
  <c r="J28" i="13" s="1"/>
  <c r="S5" i="10"/>
  <c r="G39" i="10"/>
  <c r="O39" i="10"/>
  <c r="G71" i="10"/>
  <c r="O71" i="10"/>
  <c r="G103" i="10"/>
  <c r="O103" i="10"/>
  <c r="G57" i="10"/>
  <c r="O57" i="10"/>
  <c r="G89" i="10"/>
  <c r="O89" i="10"/>
  <c r="G78" i="10"/>
  <c r="O78" i="10"/>
  <c r="G32" i="10"/>
  <c r="O32" i="10"/>
  <c r="G64" i="10"/>
  <c r="O64" i="10"/>
  <c r="G96" i="10"/>
  <c r="O96" i="10"/>
  <c r="G14" i="10"/>
  <c r="O14" i="10"/>
  <c r="G25" i="10"/>
  <c r="O25" i="10"/>
  <c r="G10" i="10"/>
  <c r="O10" i="10"/>
  <c r="G42" i="10"/>
  <c r="O42" i="10"/>
  <c r="G74" i="10"/>
  <c r="O74" i="10"/>
  <c r="G106" i="10"/>
  <c r="O106" i="10"/>
  <c r="G46" i="10"/>
  <c r="O46" i="10"/>
  <c r="G19" i="10"/>
  <c r="O19" i="10"/>
  <c r="G51" i="10"/>
  <c r="O51" i="10"/>
  <c r="G83" i="10"/>
  <c r="O83" i="10"/>
  <c r="G115" i="10"/>
  <c r="O115" i="10"/>
  <c r="G85" i="10"/>
  <c r="O85" i="10"/>
  <c r="G86" i="10"/>
  <c r="O86" i="10"/>
  <c r="G44" i="10"/>
  <c r="O44" i="10"/>
  <c r="G76" i="10"/>
  <c r="O76" i="10"/>
  <c r="G108" i="10"/>
  <c r="O108" i="10"/>
  <c r="G53" i="10"/>
  <c r="O53" i="10"/>
  <c r="G38" i="10"/>
  <c r="O38" i="10"/>
  <c r="G15" i="10"/>
  <c r="O15" i="10"/>
  <c r="G47" i="10"/>
  <c r="O47" i="10"/>
  <c r="G79" i="10"/>
  <c r="O79" i="10"/>
  <c r="G111" i="10"/>
  <c r="O111" i="10"/>
  <c r="G65" i="10"/>
  <c r="O65" i="10"/>
  <c r="G97" i="10"/>
  <c r="O97" i="10"/>
  <c r="G8" i="10"/>
  <c r="O8" i="10"/>
  <c r="G40" i="10"/>
  <c r="O40" i="10"/>
  <c r="G72" i="10"/>
  <c r="O72" i="10"/>
  <c r="G104" i="10"/>
  <c r="O104" i="10"/>
  <c r="G94" i="10"/>
  <c r="O94" i="10"/>
  <c r="G33" i="10"/>
  <c r="O33" i="10"/>
  <c r="G18" i="10"/>
  <c r="O18" i="10"/>
  <c r="G50" i="10"/>
  <c r="O50" i="10"/>
  <c r="G82" i="10"/>
  <c r="O82" i="10"/>
  <c r="G114" i="10"/>
  <c r="O114" i="10"/>
  <c r="G70" i="10"/>
  <c r="O70" i="10"/>
  <c r="G27" i="10"/>
  <c r="O27" i="10"/>
  <c r="G59" i="10"/>
  <c r="O59" i="10"/>
  <c r="G91" i="10"/>
  <c r="O91" i="10"/>
  <c r="G116" i="10"/>
  <c r="O116" i="10"/>
  <c r="G101" i="10"/>
  <c r="O101" i="10"/>
  <c r="G12" i="10"/>
  <c r="O12" i="10"/>
  <c r="G52" i="10"/>
  <c r="O52" i="10"/>
  <c r="G84" i="10"/>
  <c r="O84" i="10"/>
  <c r="G21" i="10"/>
  <c r="O21" i="10"/>
  <c r="G77" i="10"/>
  <c r="O77" i="10"/>
  <c r="G62" i="10"/>
  <c r="O62" i="10"/>
  <c r="G23" i="10"/>
  <c r="O23" i="10"/>
  <c r="G55" i="10"/>
  <c r="O55" i="10"/>
  <c r="G87" i="10"/>
  <c r="O87" i="10"/>
  <c r="G6" i="10"/>
  <c r="O6" i="10"/>
  <c r="G73" i="10"/>
  <c r="O73" i="10"/>
  <c r="G105" i="10"/>
  <c r="O105" i="10"/>
  <c r="G16" i="10"/>
  <c r="O16" i="10"/>
  <c r="G48" i="10"/>
  <c r="O48" i="10"/>
  <c r="G80" i="10"/>
  <c r="O80" i="10"/>
  <c r="G112" i="10"/>
  <c r="O112" i="10"/>
  <c r="G9" i="10"/>
  <c r="O9" i="10"/>
  <c r="G41" i="10"/>
  <c r="O41" i="10"/>
  <c r="G26" i="10"/>
  <c r="O26" i="10"/>
  <c r="G58" i="10"/>
  <c r="O58" i="10"/>
  <c r="G90" i="10"/>
  <c r="O90" i="10"/>
  <c r="G69" i="10"/>
  <c r="O69" i="10"/>
  <c r="G102" i="10"/>
  <c r="O102" i="10"/>
  <c r="G35" i="10"/>
  <c r="O35" i="10"/>
  <c r="G67" i="10"/>
  <c r="O67" i="10"/>
  <c r="G99" i="10"/>
  <c r="O99" i="10"/>
  <c r="G13" i="10"/>
  <c r="O13" i="10"/>
  <c r="G22" i="10"/>
  <c r="O22" i="10"/>
  <c r="G20" i="10"/>
  <c r="O20" i="10"/>
  <c r="G60" i="10"/>
  <c r="O60" i="10"/>
  <c r="G92" i="10"/>
  <c r="O92" i="10"/>
  <c r="G29" i="10"/>
  <c r="O29" i="10"/>
  <c r="G93" i="10"/>
  <c r="O93" i="10"/>
  <c r="G110" i="10"/>
  <c r="O110" i="10"/>
  <c r="G31" i="10"/>
  <c r="O31" i="10"/>
  <c r="K13" i="14" s="1"/>
  <c r="G63" i="10"/>
  <c r="O63" i="10"/>
  <c r="G95" i="10"/>
  <c r="O95" i="10"/>
  <c r="G7" i="10"/>
  <c r="O7" i="10"/>
  <c r="G81" i="10"/>
  <c r="O81" i="10"/>
  <c r="G30" i="10"/>
  <c r="O30" i="10"/>
  <c r="G24" i="10"/>
  <c r="O24" i="10"/>
  <c r="G56" i="10"/>
  <c r="O56" i="10"/>
  <c r="G88" i="10"/>
  <c r="O88" i="10"/>
  <c r="G113" i="10"/>
  <c r="O113" i="10"/>
  <c r="G17" i="10"/>
  <c r="O17" i="10"/>
  <c r="G49" i="10"/>
  <c r="O49" i="10"/>
  <c r="G34" i="10"/>
  <c r="O34" i="10"/>
  <c r="G66" i="10"/>
  <c r="O66" i="10"/>
  <c r="G98" i="10"/>
  <c r="O98" i="10"/>
  <c r="G109" i="10"/>
  <c r="O109" i="10"/>
  <c r="G11" i="10"/>
  <c r="O11" i="10"/>
  <c r="G43" i="10"/>
  <c r="O43" i="10"/>
  <c r="G75" i="10"/>
  <c r="O75" i="10"/>
  <c r="G107" i="10"/>
  <c r="O107" i="10"/>
  <c r="G45" i="10"/>
  <c r="O45" i="10"/>
  <c r="G54" i="10"/>
  <c r="O54" i="10"/>
  <c r="G36" i="10"/>
  <c r="O36" i="10"/>
  <c r="G68" i="10"/>
  <c r="O68" i="10"/>
  <c r="G100" i="10"/>
  <c r="O100" i="10"/>
  <c r="G37" i="10"/>
  <c r="O37" i="10"/>
  <c r="G117" i="10"/>
  <c r="O117" i="10"/>
  <c r="G61" i="10"/>
  <c r="O61" i="10"/>
  <c r="D33" i="12"/>
  <c r="E33" i="12" s="1"/>
  <c r="D30" i="12"/>
  <c r="E30" i="12" s="1"/>
  <c r="E27" i="12"/>
  <c r="D35" i="12"/>
  <c r="E35" i="12" s="1"/>
  <c r="D28" i="12"/>
  <c r="E28" i="12" s="1"/>
  <c r="D29" i="12"/>
  <c r="E29" i="12" s="1"/>
  <c r="D31" i="12"/>
  <c r="E31" i="12" s="1"/>
  <c r="D32" i="12"/>
  <c r="E32" i="12" s="1"/>
  <c r="D48" i="12"/>
  <c r="D34" i="12"/>
  <c r="E34" i="12" s="1"/>
  <c r="G118" i="10"/>
  <c r="G5" i="10"/>
  <c r="G28" i="10"/>
  <c r="P28" i="10" s="1"/>
  <c r="M43" i="13" l="1"/>
  <c r="M48" i="13" s="1"/>
  <c r="M68" i="13"/>
  <c r="K31" i="13"/>
  <c r="K32" i="13" s="1"/>
  <c r="I68" i="13"/>
  <c r="H68" i="13"/>
  <c r="I43" i="13"/>
  <c r="I48" i="13" s="1"/>
  <c r="I54" i="13" s="1"/>
  <c r="I56" i="13" s="1"/>
  <c r="J68" i="13"/>
  <c r="J43" i="13"/>
  <c r="J48" i="13" s="1"/>
  <c r="G68" i="13"/>
  <c r="N69" i="13"/>
  <c r="I69" i="13"/>
  <c r="H69" i="13"/>
  <c r="M70" i="13"/>
  <c r="J69" i="13"/>
  <c r="H71" i="13"/>
  <c r="J71" i="13"/>
  <c r="I71" i="13"/>
  <c r="G70" i="13"/>
  <c r="I67" i="13"/>
  <c r="G71" i="13"/>
  <c r="J67" i="13"/>
  <c r="L69" i="13"/>
  <c r="H70" i="13"/>
  <c r="M71" i="13"/>
  <c r="I70" i="13"/>
  <c r="K71" i="13"/>
  <c r="J70" i="13"/>
  <c r="K69" i="13"/>
  <c r="M67" i="13"/>
  <c r="P14" i="13"/>
  <c r="K15" i="13"/>
  <c r="K16" i="13" s="1"/>
  <c r="K67" i="13" s="1"/>
  <c r="H67" i="13"/>
  <c r="G67" i="13"/>
  <c r="G15" i="14"/>
  <c r="H14" i="14"/>
  <c r="G31" i="14"/>
  <c r="H30" i="14"/>
  <c r="G27" i="14"/>
  <c r="H26" i="14"/>
  <c r="G23" i="14"/>
  <c r="H22" i="14"/>
  <c r="G19" i="14"/>
  <c r="H18" i="14"/>
  <c r="G69" i="13"/>
  <c r="O24" i="13"/>
  <c r="K19" i="13"/>
  <c r="K20" i="13" s="1"/>
  <c r="K27" i="13"/>
  <c r="K28" i="13" s="1"/>
  <c r="K70" i="13" s="1"/>
  <c r="H100" i="10"/>
  <c r="P100" i="10"/>
  <c r="H45" i="10"/>
  <c r="P45" i="10"/>
  <c r="H11" i="10"/>
  <c r="P11" i="10"/>
  <c r="H34" i="10"/>
  <c r="P34" i="10"/>
  <c r="L31" i="13" s="1"/>
  <c r="L32" i="13" s="1"/>
  <c r="L71" i="13" s="1"/>
  <c r="H88" i="10"/>
  <c r="P88" i="10"/>
  <c r="H81" i="10"/>
  <c r="P81" i="10"/>
  <c r="H31" i="10"/>
  <c r="P31" i="10"/>
  <c r="L13" i="14" s="1"/>
  <c r="H92" i="10"/>
  <c r="P92" i="10"/>
  <c r="H13" i="10"/>
  <c r="P13" i="10"/>
  <c r="H102" i="10"/>
  <c r="P102" i="10"/>
  <c r="H26" i="10"/>
  <c r="P26" i="10"/>
  <c r="H80" i="10"/>
  <c r="P80" i="10"/>
  <c r="H73" i="10"/>
  <c r="P73" i="10"/>
  <c r="H23" i="10"/>
  <c r="P23" i="10"/>
  <c r="H84" i="10"/>
  <c r="P84" i="10"/>
  <c r="H116" i="10"/>
  <c r="P116" i="10"/>
  <c r="H70" i="10"/>
  <c r="P70" i="10"/>
  <c r="H18" i="10"/>
  <c r="P18" i="10"/>
  <c r="H72" i="10"/>
  <c r="P72" i="10"/>
  <c r="H65" i="10"/>
  <c r="P65" i="10"/>
  <c r="H15" i="10"/>
  <c r="P15" i="10"/>
  <c r="H76" i="10"/>
  <c r="P76" i="10"/>
  <c r="H115" i="10"/>
  <c r="P115" i="10"/>
  <c r="H46" i="10"/>
  <c r="P46" i="10"/>
  <c r="H10" i="10"/>
  <c r="P10" i="10"/>
  <c r="H64" i="10"/>
  <c r="P64" i="10"/>
  <c r="H57" i="10"/>
  <c r="P57" i="10"/>
  <c r="H38" i="10"/>
  <c r="P38" i="10"/>
  <c r="H44" i="10"/>
  <c r="P44" i="10"/>
  <c r="H83" i="10"/>
  <c r="P83" i="10"/>
  <c r="H106" i="10"/>
  <c r="P106" i="10"/>
  <c r="H25" i="10"/>
  <c r="P25" i="10"/>
  <c r="H32" i="10"/>
  <c r="P32" i="10"/>
  <c r="L15" i="13" s="1"/>
  <c r="L16" i="13" s="1"/>
  <c r="L67" i="13" s="1"/>
  <c r="H103" i="10"/>
  <c r="P103" i="10"/>
  <c r="H68" i="10"/>
  <c r="P68" i="10"/>
  <c r="H109" i="10"/>
  <c r="P109" i="10"/>
  <c r="H7" i="10"/>
  <c r="P7" i="10"/>
  <c r="H99" i="10"/>
  <c r="P99" i="10"/>
  <c r="H48" i="10"/>
  <c r="P48" i="10"/>
  <c r="H52" i="10"/>
  <c r="P52" i="10"/>
  <c r="H91" i="10"/>
  <c r="P91" i="10"/>
  <c r="H114" i="10"/>
  <c r="P114" i="10"/>
  <c r="H33" i="10"/>
  <c r="P33" i="10"/>
  <c r="H117" i="10"/>
  <c r="P117" i="10"/>
  <c r="H36" i="10"/>
  <c r="P36" i="10"/>
  <c r="H75" i="10"/>
  <c r="P75" i="10"/>
  <c r="H98" i="10"/>
  <c r="P98" i="10"/>
  <c r="H17" i="10"/>
  <c r="P17" i="10"/>
  <c r="H24" i="10"/>
  <c r="P24" i="10"/>
  <c r="H95" i="10"/>
  <c r="P95" i="10"/>
  <c r="H93" i="10"/>
  <c r="P93" i="10"/>
  <c r="H20" i="10"/>
  <c r="P20" i="10"/>
  <c r="H67" i="10"/>
  <c r="P67" i="10"/>
  <c r="H90" i="10"/>
  <c r="P90" i="10"/>
  <c r="H9" i="10"/>
  <c r="P9" i="10"/>
  <c r="H16" i="10"/>
  <c r="P16" i="10"/>
  <c r="H87" i="10"/>
  <c r="P87" i="10"/>
  <c r="H77" i="10"/>
  <c r="P77" i="10"/>
  <c r="H12" i="10"/>
  <c r="P12" i="10"/>
  <c r="H59" i="10"/>
  <c r="P59" i="10"/>
  <c r="H82" i="10"/>
  <c r="P82" i="10"/>
  <c r="H94" i="10"/>
  <c r="P94" i="10"/>
  <c r="H8" i="10"/>
  <c r="P8" i="10"/>
  <c r="H79" i="10"/>
  <c r="P79" i="10"/>
  <c r="H53" i="10"/>
  <c r="P53" i="10"/>
  <c r="H86" i="10"/>
  <c r="P86" i="10"/>
  <c r="H51" i="10"/>
  <c r="P51" i="10"/>
  <c r="H74" i="10"/>
  <c r="P74" i="10"/>
  <c r="H14" i="10"/>
  <c r="P14" i="10"/>
  <c r="H78" i="10"/>
  <c r="P78" i="10"/>
  <c r="H71" i="10"/>
  <c r="P71" i="10"/>
  <c r="H61" i="10"/>
  <c r="P61" i="10"/>
  <c r="H49" i="10"/>
  <c r="P49" i="10"/>
  <c r="H110" i="10"/>
  <c r="P110" i="10"/>
  <c r="H69" i="10"/>
  <c r="P69" i="10"/>
  <c r="H6" i="10"/>
  <c r="P6" i="10"/>
  <c r="H111" i="10"/>
  <c r="P111" i="10"/>
  <c r="H5" i="10"/>
  <c r="Q5" i="10" s="1"/>
  <c r="P5" i="10"/>
  <c r="H107" i="10"/>
  <c r="P107" i="10"/>
  <c r="H56" i="10"/>
  <c r="P56" i="10"/>
  <c r="H60" i="10"/>
  <c r="P60" i="10"/>
  <c r="H41" i="10"/>
  <c r="P41" i="10"/>
  <c r="H62" i="10"/>
  <c r="P62" i="10"/>
  <c r="H40" i="10"/>
  <c r="P40" i="10"/>
  <c r="H118" i="10"/>
  <c r="Q118" i="10" s="1"/>
  <c r="P118" i="10"/>
  <c r="H37" i="10"/>
  <c r="P37" i="10"/>
  <c r="H54" i="10"/>
  <c r="P54" i="10"/>
  <c r="H43" i="10"/>
  <c r="P43" i="10"/>
  <c r="H66" i="10"/>
  <c r="P66" i="10"/>
  <c r="H113" i="10"/>
  <c r="P113" i="10"/>
  <c r="H30" i="10"/>
  <c r="P30" i="10"/>
  <c r="H63" i="10"/>
  <c r="P63" i="10"/>
  <c r="H29" i="10"/>
  <c r="P29" i="10"/>
  <c r="H22" i="10"/>
  <c r="P22" i="10"/>
  <c r="H35" i="10"/>
  <c r="P35" i="10"/>
  <c r="H58" i="10"/>
  <c r="P58" i="10"/>
  <c r="H112" i="10"/>
  <c r="P112" i="10"/>
  <c r="H105" i="10"/>
  <c r="P105" i="10"/>
  <c r="H55" i="10"/>
  <c r="P55" i="10"/>
  <c r="H21" i="10"/>
  <c r="P21" i="10"/>
  <c r="H101" i="10"/>
  <c r="P101" i="10"/>
  <c r="H27" i="10"/>
  <c r="P27" i="10"/>
  <c r="H50" i="10"/>
  <c r="P50" i="10"/>
  <c r="H104" i="10"/>
  <c r="P104" i="10"/>
  <c r="H97" i="10"/>
  <c r="P97" i="10"/>
  <c r="H47" i="10"/>
  <c r="P47" i="10"/>
  <c r="H108" i="10"/>
  <c r="P108" i="10"/>
  <c r="H85" i="10"/>
  <c r="P85" i="10"/>
  <c r="H19" i="10"/>
  <c r="P19" i="10"/>
  <c r="H42" i="10"/>
  <c r="P42" i="10"/>
  <c r="H96" i="10"/>
  <c r="P96" i="10"/>
  <c r="H89" i="10"/>
  <c r="P89" i="10"/>
  <c r="H39" i="10"/>
  <c r="P39" i="10"/>
  <c r="E48" i="12"/>
  <c r="E49" i="12" s="1"/>
  <c r="E38" i="12"/>
  <c r="D38" i="12"/>
  <c r="D39" i="12" s="1"/>
  <c r="D49" i="12"/>
  <c r="H28" i="10"/>
  <c r="Q28" i="10" s="1"/>
  <c r="M63" i="13" l="1"/>
  <c r="G48" i="13"/>
  <c r="G54" i="13" s="1"/>
  <c r="G56" i="13" s="1"/>
  <c r="K68" i="13"/>
  <c r="K43" i="13"/>
  <c r="O69" i="13"/>
  <c r="M54" i="13"/>
  <c r="M56" i="13" s="1"/>
  <c r="H15" i="14"/>
  <c r="Y18" i="14" s="1"/>
  <c r="I14" i="14"/>
  <c r="H31" i="14"/>
  <c r="I30" i="14"/>
  <c r="H27" i="14"/>
  <c r="Y30" i="14" s="1"/>
  <c r="I26" i="14"/>
  <c r="H23" i="14"/>
  <c r="Y26" i="14" s="1"/>
  <c r="I22" i="14"/>
  <c r="H19" i="14"/>
  <c r="Y20" i="14" s="1"/>
  <c r="Y22" i="14" s="1"/>
  <c r="I18" i="14"/>
  <c r="I5" i="10"/>
  <c r="R5" i="10" s="1"/>
  <c r="J63" i="13"/>
  <c r="I118" i="10"/>
  <c r="R118" i="10" s="1"/>
  <c r="L19" i="13"/>
  <c r="L20" i="13" s="1"/>
  <c r="L27" i="13"/>
  <c r="L28" i="13" s="1"/>
  <c r="L70" i="13" s="1"/>
  <c r="I89" i="10"/>
  <c r="R89" i="10" s="1"/>
  <c r="Q89" i="10"/>
  <c r="I85" i="10"/>
  <c r="R85" i="10" s="1"/>
  <c r="Q85" i="10"/>
  <c r="I104" i="10"/>
  <c r="R104" i="10" s="1"/>
  <c r="Q104" i="10"/>
  <c r="I21" i="10"/>
  <c r="R21" i="10" s="1"/>
  <c r="Q21" i="10"/>
  <c r="I58" i="10"/>
  <c r="R58" i="10" s="1"/>
  <c r="Q58" i="10"/>
  <c r="I63" i="10"/>
  <c r="R63" i="10" s="1"/>
  <c r="Q63" i="10"/>
  <c r="I43" i="10"/>
  <c r="R43" i="10" s="1"/>
  <c r="Q43" i="10"/>
  <c r="I40" i="10"/>
  <c r="R40" i="10" s="1"/>
  <c r="Q40" i="10"/>
  <c r="I56" i="10"/>
  <c r="R56" i="10" s="1"/>
  <c r="Q56" i="10"/>
  <c r="I6" i="10"/>
  <c r="R6" i="10" s="1"/>
  <c r="Q6" i="10"/>
  <c r="I61" i="10"/>
  <c r="R61" i="10" s="1"/>
  <c r="Q61" i="10"/>
  <c r="I74" i="10"/>
  <c r="R74" i="10" s="1"/>
  <c r="Q74" i="10"/>
  <c r="I79" i="10"/>
  <c r="R79" i="10" s="1"/>
  <c r="Q79" i="10"/>
  <c r="I59" i="10"/>
  <c r="R59" i="10" s="1"/>
  <c r="Q59" i="10"/>
  <c r="I16" i="10"/>
  <c r="R16" i="10" s="1"/>
  <c r="Q16" i="10"/>
  <c r="I20" i="10"/>
  <c r="R20" i="10" s="1"/>
  <c r="Q20" i="10"/>
  <c r="I17" i="10"/>
  <c r="R17" i="10" s="1"/>
  <c r="Q17" i="10"/>
  <c r="I117" i="10"/>
  <c r="R117" i="10" s="1"/>
  <c r="Q117" i="10"/>
  <c r="I52" i="10"/>
  <c r="R52" i="10" s="1"/>
  <c r="Q52" i="10"/>
  <c r="I109" i="10"/>
  <c r="R109" i="10" s="1"/>
  <c r="Q109" i="10"/>
  <c r="I25" i="10"/>
  <c r="R25" i="10" s="1"/>
  <c r="Q25" i="10"/>
  <c r="I38" i="10"/>
  <c r="R38" i="10" s="1"/>
  <c r="Q38" i="10"/>
  <c r="I46" i="10"/>
  <c r="R46" i="10" s="1"/>
  <c r="Q46" i="10"/>
  <c r="I65" i="10"/>
  <c r="R65" i="10" s="1"/>
  <c r="Q65" i="10"/>
  <c r="I116" i="10"/>
  <c r="R116" i="10" s="1"/>
  <c r="Q116" i="10"/>
  <c r="I80" i="10"/>
  <c r="R80" i="10" s="1"/>
  <c r="Q80" i="10"/>
  <c r="I92" i="10"/>
  <c r="R92" i="10" s="1"/>
  <c r="Q92" i="10"/>
  <c r="I34" i="10"/>
  <c r="R34" i="10" s="1"/>
  <c r="Q34" i="10"/>
  <c r="N31" i="13" s="1"/>
  <c r="N32" i="13" s="1"/>
  <c r="N71" i="13" s="1"/>
  <c r="I108" i="10"/>
  <c r="R108" i="10" s="1"/>
  <c r="Q108" i="10"/>
  <c r="I35" i="10"/>
  <c r="R35" i="10" s="1"/>
  <c r="Q35" i="10"/>
  <c r="I62" i="10"/>
  <c r="R62" i="10" s="1"/>
  <c r="Q62" i="10"/>
  <c r="I71" i="10"/>
  <c r="R71" i="10" s="1"/>
  <c r="Q71" i="10"/>
  <c r="I12" i="10"/>
  <c r="R12" i="10" s="1"/>
  <c r="Q12" i="10"/>
  <c r="I33" i="10"/>
  <c r="R33" i="10" s="1"/>
  <c r="Q33" i="10"/>
  <c r="I57" i="10"/>
  <c r="R57" i="10" s="1"/>
  <c r="Q57" i="10"/>
  <c r="I11" i="10"/>
  <c r="R11" i="10" s="1"/>
  <c r="Q11" i="10"/>
  <c r="I42" i="10"/>
  <c r="R42" i="10" s="1"/>
  <c r="Q42" i="10"/>
  <c r="I47" i="10"/>
  <c r="R47" i="10" s="1"/>
  <c r="Q47" i="10"/>
  <c r="I27" i="10"/>
  <c r="R27" i="10" s="1"/>
  <c r="Q27" i="10"/>
  <c r="I105" i="10"/>
  <c r="R105" i="10" s="1"/>
  <c r="Q105" i="10"/>
  <c r="I22" i="10"/>
  <c r="R22" i="10" s="1"/>
  <c r="Q22" i="10"/>
  <c r="I113" i="10"/>
  <c r="R113" i="10" s="1"/>
  <c r="Q113" i="10"/>
  <c r="I37" i="10"/>
  <c r="R37" i="10" s="1"/>
  <c r="Q37" i="10"/>
  <c r="I41" i="10"/>
  <c r="R41" i="10" s="1"/>
  <c r="Q41" i="10"/>
  <c r="I110" i="10"/>
  <c r="R110" i="10" s="1"/>
  <c r="Q110" i="10"/>
  <c r="I78" i="10"/>
  <c r="R78" i="10" s="1"/>
  <c r="Q78" i="10"/>
  <c r="I86" i="10"/>
  <c r="R86" i="10" s="1"/>
  <c r="Q86" i="10"/>
  <c r="I94" i="10"/>
  <c r="R94" i="10" s="1"/>
  <c r="Q94" i="10"/>
  <c r="I77" i="10"/>
  <c r="R77" i="10" s="1"/>
  <c r="Q77" i="10"/>
  <c r="I90" i="10"/>
  <c r="R90" i="10" s="1"/>
  <c r="Q90" i="10"/>
  <c r="I95" i="10"/>
  <c r="R95" i="10" s="1"/>
  <c r="Q95" i="10"/>
  <c r="I75" i="10"/>
  <c r="R75" i="10" s="1"/>
  <c r="Q75" i="10"/>
  <c r="I114" i="10"/>
  <c r="R114" i="10" s="1"/>
  <c r="Q114" i="10"/>
  <c r="I99" i="10"/>
  <c r="R99" i="10" s="1"/>
  <c r="Q99" i="10"/>
  <c r="I103" i="10"/>
  <c r="R103" i="10" s="1"/>
  <c r="Q103" i="10"/>
  <c r="I83" i="10"/>
  <c r="R83" i="10" s="1"/>
  <c r="Q83" i="10"/>
  <c r="I64" i="10"/>
  <c r="R64" i="10" s="1"/>
  <c r="Q64" i="10"/>
  <c r="I76" i="10"/>
  <c r="R76" i="10" s="1"/>
  <c r="Q76" i="10"/>
  <c r="I18" i="10"/>
  <c r="R18" i="10" s="1"/>
  <c r="Q18" i="10"/>
  <c r="I23" i="10"/>
  <c r="R23" i="10" s="1"/>
  <c r="Q23" i="10"/>
  <c r="I102" i="10"/>
  <c r="R102" i="10" s="1"/>
  <c r="Q102" i="10"/>
  <c r="I81" i="10"/>
  <c r="R81" i="10" s="1"/>
  <c r="Q81" i="10"/>
  <c r="I45" i="10"/>
  <c r="R45" i="10" s="1"/>
  <c r="Q45" i="10"/>
  <c r="I96" i="10"/>
  <c r="R96" i="10" s="1"/>
  <c r="Q96" i="10"/>
  <c r="I55" i="10"/>
  <c r="R55" i="10" s="1"/>
  <c r="Q55" i="10"/>
  <c r="I54" i="10"/>
  <c r="R54" i="10" s="1"/>
  <c r="Q54" i="10"/>
  <c r="I69" i="10"/>
  <c r="R69" i="10" s="1"/>
  <c r="Q69" i="10"/>
  <c r="I8" i="10"/>
  <c r="R8" i="10" s="1"/>
  <c r="Q8" i="10"/>
  <c r="I98" i="10"/>
  <c r="R98" i="10" s="1"/>
  <c r="Q98" i="10"/>
  <c r="I115" i="10"/>
  <c r="R115" i="10" s="1"/>
  <c r="Q115" i="10"/>
  <c r="I84" i="10"/>
  <c r="R84" i="10" s="1"/>
  <c r="Q84" i="10"/>
  <c r="I26" i="10"/>
  <c r="R26" i="10" s="1"/>
  <c r="Q26" i="10"/>
  <c r="I50" i="10"/>
  <c r="R50" i="10" s="1"/>
  <c r="Q50" i="10"/>
  <c r="I30" i="10"/>
  <c r="R30" i="10" s="1"/>
  <c r="Q30" i="10"/>
  <c r="I107" i="10"/>
  <c r="R107" i="10" s="1"/>
  <c r="Q107" i="10"/>
  <c r="I51" i="10"/>
  <c r="R51" i="10" s="1"/>
  <c r="Q51" i="10"/>
  <c r="I9" i="10"/>
  <c r="R9" i="10" s="1"/>
  <c r="Q9" i="10"/>
  <c r="I93" i="10"/>
  <c r="R93" i="10" s="1"/>
  <c r="Q93" i="10"/>
  <c r="I48" i="10"/>
  <c r="R48" i="10" s="1"/>
  <c r="Q48" i="10"/>
  <c r="I68" i="10"/>
  <c r="R68" i="10" s="1"/>
  <c r="Q68" i="10"/>
  <c r="I106" i="10"/>
  <c r="R106" i="10" s="1"/>
  <c r="Q106" i="10"/>
  <c r="I72" i="10"/>
  <c r="R72" i="10" s="1"/>
  <c r="Q72" i="10"/>
  <c r="I31" i="10"/>
  <c r="R31" i="10" s="1"/>
  <c r="N13" i="14" s="1"/>
  <c r="Q31" i="10"/>
  <c r="M13" i="14" s="1"/>
  <c r="I39" i="10"/>
  <c r="R39" i="10" s="1"/>
  <c r="Q39" i="10"/>
  <c r="I19" i="10"/>
  <c r="R19" i="10" s="1"/>
  <c r="Q19" i="10"/>
  <c r="I97" i="10"/>
  <c r="R97" i="10" s="1"/>
  <c r="Q97" i="10"/>
  <c r="I101" i="10"/>
  <c r="R101" i="10" s="1"/>
  <c r="Q101" i="10"/>
  <c r="I112" i="10"/>
  <c r="R112" i="10" s="1"/>
  <c r="Q112" i="10"/>
  <c r="I29" i="10"/>
  <c r="R29" i="10" s="1"/>
  <c r="Q29" i="10"/>
  <c r="I66" i="10"/>
  <c r="R66" i="10" s="1"/>
  <c r="Q66" i="10"/>
  <c r="I60" i="10"/>
  <c r="R60" i="10" s="1"/>
  <c r="Q60" i="10"/>
  <c r="I111" i="10"/>
  <c r="R111" i="10" s="1"/>
  <c r="Q111" i="10"/>
  <c r="I49" i="10"/>
  <c r="R49" i="10" s="1"/>
  <c r="Q49" i="10"/>
  <c r="I14" i="10"/>
  <c r="R14" i="10" s="1"/>
  <c r="Q14" i="10"/>
  <c r="I53" i="10"/>
  <c r="R53" i="10" s="1"/>
  <c r="Q53" i="10"/>
  <c r="I82" i="10"/>
  <c r="R82" i="10" s="1"/>
  <c r="Q82" i="10"/>
  <c r="I87" i="10"/>
  <c r="R87" i="10" s="1"/>
  <c r="Q87" i="10"/>
  <c r="I67" i="10"/>
  <c r="R67" i="10" s="1"/>
  <c r="Q67" i="10"/>
  <c r="I24" i="10"/>
  <c r="R24" i="10" s="1"/>
  <c r="Q24" i="10"/>
  <c r="I36" i="10"/>
  <c r="R36" i="10" s="1"/>
  <c r="Q36" i="10"/>
  <c r="I91" i="10"/>
  <c r="R91" i="10" s="1"/>
  <c r="Q91" i="10"/>
  <c r="I7" i="10"/>
  <c r="R7" i="10" s="1"/>
  <c r="Q7" i="10"/>
  <c r="I32" i="10"/>
  <c r="R32" i="10" s="1"/>
  <c r="Q32" i="10"/>
  <c r="N15" i="13" s="1"/>
  <c r="N16" i="13" s="1"/>
  <c r="N67" i="13" s="1"/>
  <c r="I44" i="10"/>
  <c r="R44" i="10" s="1"/>
  <c r="Q44" i="10"/>
  <c r="I10" i="10"/>
  <c r="R10" i="10" s="1"/>
  <c r="Q10" i="10"/>
  <c r="I15" i="10"/>
  <c r="R15" i="10" s="1"/>
  <c r="Q15" i="10"/>
  <c r="I70" i="10"/>
  <c r="R70" i="10" s="1"/>
  <c r="Q70" i="10"/>
  <c r="I73" i="10"/>
  <c r="R73" i="10" s="1"/>
  <c r="Q73" i="10"/>
  <c r="I13" i="10"/>
  <c r="R13" i="10" s="1"/>
  <c r="Q13" i="10"/>
  <c r="I88" i="10"/>
  <c r="R88" i="10" s="1"/>
  <c r="Q88" i="10"/>
  <c r="I100" i="10"/>
  <c r="R100" i="10" s="1"/>
  <c r="Q100" i="10"/>
  <c r="D47" i="12"/>
  <c r="D41" i="12"/>
  <c r="D40" i="12" s="1"/>
  <c r="D13" i="12" s="1"/>
  <c r="E47" i="12"/>
  <c r="E41" i="12"/>
  <c r="E40" i="12" s="1"/>
  <c r="E13" i="12" s="1"/>
  <c r="E39" i="12"/>
  <c r="I28" i="10"/>
  <c r="R28" i="10" s="1"/>
  <c r="G42" i="14" l="1"/>
  <c r="G47" i="14" s="1"/>
  <c r="K48" i="13"/>
  <c r="K63" i="13"/>
  <c r="L68" i="13"/>
  <c r="L43" i="13"/>
  <c r="P13" i="14"/>
  <c r="J54" i="13"/>
  <c r="J56" i="13" s="1"/>
  <c r="I15" i="14"/>
  <c r="J14" i="14"/>
  <c r="I31" i="14"/>
  <c r="J30" i="14"/>
  <c r="I27" i="14"/>
  <c r="J26" i="14"/>
  <c r="I23" i="14"/>
  <c r="J22" i="14"/>
  <c r="I19" i="14"/>
  <c r="J18" i="14"/>
  <c r="O32" i="13"/>
  <c r="O67" i="13"/>
  <c r="O71" i="13"/>
  <c r="O16" i="13"/>
  <c r="N27" i="13"/>
  <c r="N28" i="13" s="1"/>
  <c r="N70" i="13" s="1"/>
  <c r="N19" i="13"/>
  <c r="N20" i="13" s="1"/>
  <c r="E42" i="12"/>
  <c r="E12" i="12" s="1"/>
  <c r="E43" i="12"/>
  <c r="E46" i="12" s="1"/>
  <c r="D42" i="12"/>
  <c r="D43" i="12"/>
  <c r="I42" i="14" l="1"/>
  <c r="I47" i="14" s="1"/>
  <c r="L48" i="13"/>
  <c r="L63" i="13"/>
  <c r="N68" i="13"/>
  <c r="O68" i="13" s="1"/>
  <c r="N43" i="13"/>
  <c r="N48" i="13" s="1"/>
  <c r="K54" i="13"/>
  <c r="K56" i="13" s="1"/>
  <c r="J15" i="14"/>
  <c r="J42" i="14" s="1"/>
  <c r="K14" i="14"/>
  <c r="J31" i="14"/>
  <c r="K30" i="14"/>
  <c r="J27" i="14"/>
  <c r="K26" i="14"/>
  <c r="J23" i="14"/>
  <c r="K22" i="14"/>
  <c r="J19" i="14"/>
  <c r="K18" i="14"/>
  <c r="O28" i="13"/>
  <c r="O70" i="13"/>
  <c r="O20" i="13"/>
  <c r="E14" i="12"/>
  <c r="D14" i="12"/>
  <c r="D12" i="12"/>
  <c r="D23" i="12" s="1"/>
  <c r="F23" i="12" s="1"/>
  <c r="E44" i="12"/>
  <c r="E23" i="12" s="1"/>
  <c r="D46" i="12"/>
  <c r="D44" i="12"/>
  <c r="E27" i="4"/>
  <c r="F27" i="4" s="1"/>
  <c r="E12" i="4"/>
  <c r="F12" i="4" s="1"/>
  <c r="O43" i="13" l="1"/>
  <c r="O48" i="13" s="1"/>
  <c r="O54" i="13" s="1"/>
  <c r="L54" i="13"/>
  <c r="L56" i="13" s="1"/>
  <c r="J47" i="14"/>
  <c r="K15" i="14"/>
  <c r="K42" i="14" s="1"/>
  <c r="L14" i="14"/>
  <c r="K31" i="14"/>
  <c r="L30" i="14"/>
  <c r="K27" i="14"/>
  <c r="L26" i="14"/>
  <c r="K23" i="14"/>
  <c r="L22" i="14"/>
  <c r="K19" i="14"/>
  <c r="L18" i="14"/>
  <c r="N63" i="13"/>
  <c r="O63" i="13" s="1"/>
  <c r="O66" i="13"/>
  <c r="G27" i="4"/>
  <c r="G12" i="4"/>
  <c r="E13" i="4"/>
  <c r="F13" i="4" s="1"/>
  <c r="C19" i="4" s="1"/>
  <c r="E28" i="4"/>
  <c r="F28" i="4" s="1"/>
  <c r="D29" i="4" s="1"/>
  <c r="E29" i="4" s="1"/>
  <c r="F29" i="4" s="1"/>
  <c r="G29" i="4" s="1"/>
  <c r="D14" i="4" l="1"/>
  <c r="E14" i="4" s="1"/>
  <c r="D30" i="4"/>
  <c r="D31" i="4" s="1"/>
  <c r="N54" i="13"/>
  <c r="N56" i="13" s="1"/>
  <c r="O60" i="13"/>
  <c r="O55" i="13"/>
  <c r="O61" i="13" s="1"/>
  <c r="L15" i="14"/>
  <c r="L42" i="14" s="1"/>
  <c r="M14" i="14"/>
  <c r="L31" i="14"/>
  <c r="M30" i="14"/>
  <c r="L27" i="14"/>
  <c r="M26" i="14"/>
  <c r="L23" i="14"/>
  <c r="M22" i="14"/>
  <c r="L19" i="14"/>
  <c r="M18" i="14"/>
  <c r="K47" i="14"/>
  <c r="O62" i="14"/>
  <c r="E30" i="4"/>
  <c r="E31" i="4" s="1"/>
  <c r="F14" i="4" l="1"/>
  <c r="G14" i="4" s="1"/>
  <c r="E15" i="4"/>
  <c r="E16" i="4" s="1"/>
  <c r="D15" i="4"/>
  <c r="D16" i="4" s="1"/>
  <c r="L47" i="14"/>
  <c r="N14" i="14"/>
  <c r="N15" i="14" s="1"/>
  <c r="M15" i="14"/>
  <c r="M42" i="14" s="1"/>
  <c r="M31" i="14"/>
  <c r="N30" i="14"/>
  <c r="N31" i="14" s="1"/>
  <c r="M27" i="14"/>
  <c r="N26" i="14"/>
  <c r="N27" i="14" s="1"/>
  <c r="M23" i="14"/>
  <c r="N22" i="14"/>
  <c r="N23" i="14" s="1"/>
  <c r="M19" i="14"/>
  <c r="N18" i="14"/>
  <c r="N19" i="14" s="1"/>
  <c r="O65" i="14"/>
  <c r="O56" i="13"/>
  <c r="O59" i="13" s="1"/>
  <c r="E77" i="13" s="1"/>
  <c r="O73" i="13"/>
  <c r="O75" i="13" s="1"/>
  <c r="G13" i="4"/>
  <c r="F15" i="4"/>
  <c r="F16" i="4" s="1"/>
  <c r="G28" i="4"/>
  <c r="F30" i="4"/>
  <c r="F31" i="4" s="1"/>
  <c r="N42" i="14" l="1"/>
  <c r="O42" i="14" s="1"/>
  <c r="AB69" i="14"/>
  <c r="AC62" i="14"/>
  <c r="O31" i="14"/>
  <c r="O15" i="14"/>
  <c r="O27" i="14"/>
  <c r="O23" i="14"/>
  <c r="M47" i="14"/>
  <c r="O19" i="14"/>
  <c r="O66" i="14"/>
  <c r="O74" i="13"/>
  <c r="G30" i="4"/>
  <c r="G31" i="4" s="1"/>
  <c r="G15" i="4"/>
  <c r="G16" i="4" s="1"/>
  <c r="N47" i="14" l="1"/>
  <c r="O47" i="14"/>
  <c r="B6" i="15"/>
  <c r="E4" i="15" s="1"/>
  <c r="H4" i="15" s="1"/>
  <c r="AH49" i="14" l="1"/>
  <c r="AH55" i="14" s="1"/>
  <c r="O61" i="14" s="1"/>
  <c r="AC49" i="14"/>
  <c r="AB49" i="14" s="1"/>
  <c r="Y67" i="14"/>
  <c r="AB67" i="14"/>
  <c r="AB71" i="14" s="1"/>
  <c r="L4" i="15"/>
  <c r="Y68" i="14" l="1"/>
  <c r="Z61" i="14"/>
  <c r="AC60" i="14"/>
  <c r="AC63" i="14" s="1"/>
  <c r="Z60" i="14"/>
  <c r="Z63" i="14" s="1"/>
  <c r="AE63" i="14" s="1"/>
  <c r="W64" i="14" s="1"/>
  <c r="Y71" i="14"/>
  <c r="AD71" i="14" s="1"/>
  <c r="W72" i="14" s="1"/>
  <c r="AH57" i="14"/>
  <c r="O60" i="14" s="1"/>
  <c r="AF63" i="14"/>
</calcChain>
</file>

<file path=xl/comments1.xml><?xml version="1.0" encoding="utf-8"?>
<comments xmlns="http://schemas.openxmlformats.org/spreadsheetml/2006/main">
  <authors>
    <author>Friess, Jessica</author>
  </authors>
  <commentList>
    <comment ref="D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"easy-online": nur für Anträge mittels easy-online
"reale Kosten" ansonsten, insb. bei Skizzen (inkl. nicht feststehenden Tariferhöhungen)</t>
        </r>
      </text>
    </comment>
    <comment ref="K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@FoFö: 
1. Blattschutz aufheben
2. Händischen Wert eintragen
3. Zelle farbig markieren
4. Blatt schützen</t>
        </r>
      </text>
    </comment>
    <comment ref="I4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Außerhalb des rotes Feldes können bspw. eine Detailplanung zu den Sachkosten aufgeschlüsselt werden.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Hilfsindex für voraussichtliche-Kosten-Rechnung in Tab "Tabelle"</t>
        </r>
      </text>
    </comment>
    <comment ref="F11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Hilfsindex easy- online"-Rechnung für Spalte in Tab "Tabelle"</t>
        </r>
      </text>
    </comment>
    <comment ref="P1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Gewichteter Mittelwert der monatlichen Personalkosten über den gesamten Projektzeitraum für Vollzeitäquivalent</t>
        </r>
      </text>
    </comment>
    <comment ref="Q1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KM: Kalendermonate</t>
        </r>
      </text>
    </comment>
    <comment ref="R1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Full time equivalent / Vollzeit-Personenmonate</t>
        </r>
      </text>
    </comment>
    <comment ref="G14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Formelschema
- Unterscheidung: reale Kosten oder easy-online
- Dann je nach Hilfsindex AG-Kosten aus Tabelle bestimmen</t>
        </r>
      </text>
    </comment>
    <comment ref="F3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Eingabe h/Woche
max. 19 h</t>
        </r>
      </text>
    </comment>
    <comment ref="G3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Monate bis August einschließlich, da danach Lohnerhöhung HK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Monate ab September</t>
        </r>
      </text>
    </comment>
    <comment ref="F34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Entspricht ... % Vollzeitäquivalent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 xml:space="preserve">Friess, Jessica:
</t>
        </r>
        <r>
          <rPr>
            <sz val="9"/>
            <color indexed="81"/>
            <rFont val="Segoe UI"/>
            <family val="2"/>
          </rPr>
          <t>Formelschema
- Unterscheidung WHK, SHK
- Stundenlohn * (SV-Satz je nach Stundengrenze) * Monatsfaktor</t>
        </r>
      </text>
    </comment>
    <comment ref="G36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Monate bis August einschließlich, da danach Lohnerhöhung HK</t>
        </r>
      </text>
    </comment>
    <comment ref="H36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Monate ab September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W-Besoldung: es gibt bei W-Besoldung keine Stufen; daher Stufeneingabe ohne Bedeutung
C-Besoldung: Stufe entsprechend erfragen</t>
        </r>
      </text>
    </comment>
    <comment ref="H40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Formelhinweis: voraus. Koszten:
2022: Spaltenindex 1
ab 2023: Spaltenindex 2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nur in Absprache FoFö/Personalhaushalt ändern</t>
        </r>
      </text>
    </comment>
    <comment ref="P51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Hinweis für HEU</t>
        </r>
      </text>
    </comment>
    <comment ref="D5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"normal": für BMBF-Anträge, andere Anträge bei Bundesministerien und sonstigen Geldgebern
"Horizon Europe .ä." bei entsprechend Projekten auswählen, da dort auf Unteraufträge keine Pauschalen anfallen</t>
        </r>
      </text>
    </comment>
    <comment ref="E5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Hinweis für HEU</t>
        </r>
      </text>
    </comment>
    <comment ref="D55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BMBF: i.d.R. 20 %
sonstige Bundesministerein 0 % (oder ggf. 20 %)
HEU: 25 %</t>
        </r>
      </text>
    </comment>
    <comment ref="F57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Optionaler Wer für eigene Kontrolle</t>
        </r>
      </text>
    </comment>
    <comment ref="F6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"ja" --&gt; bei easy-online-Vollanträgen, ggf. bei Skizzen
"nein", optional bei realen Kosten 
bezieht sich nur auf Tarifpersonal, nicht SHK/WHK und Prof</t>
        </r>
      </text>
    </comment>
    <comment ref="G6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Formelschema
- Tariferhöhung betrachten: ja oder nein
- Prüfen ob für das Jahr Tarife feststehen oder nicht
- Tariferhöhungen berechen
</t>
        </r>
      </text>
    </comment>
    <comment ref="O6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Werte in diese Zeile sind gerundet.</t>
        </r>
      </text>
    </comment>
    <comment ref="O66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Werte sind gerundet.</t>
        </r>
      </text>
    </comment>
    <comment ref="G67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Formelschema:
- falls "Reale Kosten": keine Berechnung der Stufenerhöhung
- falls "easy-online": 
-- - prüfen ob Personal NN ist
- Kosten für Stufenerhöhung, sodass Stufe-3-Differenz berechnet wird 
- dies erfolgt anhand der Tabelle
</t>
        </r>
      </text>
    </comment>
    <comment ref="E77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Formel: 
Fällt Eigenanteil an? Ja/Nein
Liegt Pauschale vor? Ja/Nein.
Übersteigt Eigenanteil die Pauschale?
--&gt; Entsprechene Vorfinanzierung</t>
        </r>
      </text>
    </comment>
    <comment ref="C8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Bspw.:
- Beantragte Summe DFG eintragen
- Hinweis auf Präsidiumsbeschluss
 - Kein Präsidiumsbeschluss, da versteckte Eigenanteile durch Ensparung im Projektbudget vollzogen werden
- ....</t>
        </r>
      </text>
    </comment>
  </commentList>
</comments>
</file>

<file path=xl/comments2.xml><?xml version="1.0" encoding="utf-8"?>
<comments xmlns="http://schemas.openxmlformats.org/spreadsheetml/2006/main">
  <authors>
    <author>Friess, Jessica</author>
  </authors>
  <commentList>
    <comment ref="D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"easy-online": nur für Anträge mittels easy-online
"reale Kosten" ansonsten, insb. bei Skizzen (inkl. nicht feststehenden Tariferhöhungen)</t>
        </r>
      </text>
    </comment>
    <comment ref="K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@FoFö: 
1. Blattschutz aufheben
2. Händischen Wert eintragen
3. Zelle farbig markieren
4. Blatt schützen</t>
        </r>
      </text>
    </comment>
    <comment ref="U3" authorId="0" shapeId="0">
      <text>
        <r>
          <rPr>
            <b/>
            <sz val="9"/>
            <color indexed="81"/>
            <rFont val="Segoe UI"/>
            <charset val="1"/>
          </rPr>
          <t xml:space="preserve">Friess, Jessica:
</t>
        </r>
        <r>
          <rPr>
            <sz val="9"/>
            <color indexed="81"/>
            <rFont val="Segoe UI"/>
            <family val="2"/>
          </rPr>
          <t>EFRE/Interreg unterschiedlich</t>
        </r>
      </text>
    </comment>
    <comment ref="I4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Außerhalb des rotes Feldes können bspw. eine Detailplanung zu den Sachkosten aufgeschlüsselt werden.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Hilfsindex für voraussichtliche-Kosten-Rechnung in Tab "Tabelle"</t>
        </r>
      </text>
    </comment>
    <comment ref="P11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Gewichteter Mittelwert der monatlichen Personalkosten über den gesamten Projektzeitraum für Vollzeitäquivalent</t>
        </r>
      </text>
    </comment>
    <comment ref="Q11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KM: Kalendermonate</t>
        </r>
      </text>
    </comment>
    <comment ref="R11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Full time equivalent / Vollzeit-Personenmonate</t>
        </r>
      </text>
    </comment>
    <comment ref="W1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Je nach Förderprogramm entsprechend wählen.</t>
        </r>
      </text>
    </comment>
    <comment ref="AF1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Formel:
Unterscheidung Förderprogramm
- DFG: Berechnung über Monatsanteil
-EFRE/Interreg: Bei 100-%-Stelle: Monatsweiseberechnung; &lt;100%Stundenweise Berechnung</t>
        </r>
      </text>
    </comment>
    <comment ref="AG1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KM: Kalendarmonate
EFRE/Interreg: Teilzeitstellen in h</t>
        </r>
      </text>
    </comment>
    <comment ref="G13" authorId="0" shapeId="0">
      <text>
        <r>
          <rPr>
            <b/>
            <sz val="9"/>
            <color indexed="81"/>
            <rFont val="Segoe UI"/>
            <family val="2"/>
          </rPr>
          <t xml:space="preserve">Friess, Jessica
</t>
        </r>
        <r>
          <rPr>
            <sz val="9"/>
            <color indexed="81"/>
            <rFont val="Segoe UI"/>
            <family val="2"/>
          </rPr>
          <t>Formel: je nach Hilfsindex AG-Kosten aus Tabelle bestimmen</t>
        </r>
      </text>
    </comment>
    <comment ref="AF1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Formel:
Je nach Förderprogramm und Stellenanteil, Monats- oder Stundenberechnung</t>
        </r>
      </text>
    </comment>
    <comment ref="W16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Je nach Förderprogramm entsprechend wählen.</t>
        </r>
      </text>
    </comment>
    <comment ref="W20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Je nach Förderprogramm entsprechend wählen.</t>
        </r>
      </text>
    </comment>
    <comment ref="W24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Je nach Förderprogramm entsprechend wählen.</t>
        </r>
      </text>
    </comment>
    <comment ref="W28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Je nach Förderprogramm entsprechend wählen.</t>
        </r>
      </text>
    </comment>
    <comment ref="F3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Eingabe h/Woche
max. 19 h</t>
        </r>
      </text>
    </comment>
    <comment ref="G3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Monate bis August einschließlich, da danach Lohnerhöhung HK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Monate ab September</t>
        </r>
      </text>
    </comment>
    <comment ref="W3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Je nach Förderprogramm entsprechend wählen.</t>
        </r>
      </text>
    </comment>
    <comment ref="F3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Entspricht ... % Vollzeitäquivalent</t>
        </r>
      </text>
    </comment>
    <comment ref="G35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Monate bis August einschließlich, da danach Lohnerhöhung HK</t>
        </r>
      </text>
    </comment>
    <comment ref="H35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Monate ab September</t>
        </r>
      </text>
    </comment>
    <comment ref="W35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Je nach Förderprogramm entsprechend wählen.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W-Besoldung: es gibt bei W-Besoldung keine Stufen; daher Stufeneingabe ohne Bedeutung
C-Besoldung: Stufe entsprechend erfragen</t>
        </r>
      </text>
    </comment>
    <comment ref="W38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Je nach Förderprogramm entsprechend wählen.</t>
        </r>
      </text>
    </comment>
    <comment ref="H39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Formelhinweis: voraus. Koszten:
2022: Spaltenindex 1
ab 2023: Spaltenindex 2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nur in Absprache FoFö/Personalhaushalt ändern</t>
        </r>
      </text>
    </comment>
    <comment ref="V56" authorId="0" shapeId="0">
      <text>
        <r>
          <rPr>
            <b/>
            <sz val="9"/>
            <color indexed="81"/>
            <rFont val="Segoe UI"/>
            <charset val="1"/>
          </rPr>
          <t>Friess, Jessica:</t>
        </r>
        <r>
          <rPr>
            <sz val="9"/>
            <color indexed="81"/>
            <rFont val="Segoe UI"/>
            <charset val="1"/>
          </rPr>
          <t xml:space="preserve">
Hier nur bei Interreg auswählen.
Ausnahme: Gilt nur für Prio I/II, wenn keine Sachkosten einzeln aufgeführt beantragt werden und wenn Sachkosten nicht zu hoch sind</t>
        </r>
      </text>
    </comment>
    <comment ref="X58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Optionaler Wert für eigene Kontrolle</t>
        </r>
      </text>
    </comment>
    <comment ref="F60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Für gewohnlich: DFG: 0 %
EFRE: 10 %
Interreg: i.d.R, 30 %( je nach Förderlinie)</t>
        </r>
      </text>
    </comment>
    <comment ref="O64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Bei Interreg-Ausnahme; dann nur Verwaltungsanteil statt volle 40 %</t>
        </r>
      </text>
    </comment>
    <comment ref="AD66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Fllt sich nur aus wenn "Ausnahme " bei Pauschale gewählt wurde.</t>
        </r>
      </text>
    </comment>
    <comment ref="AF67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Die 40 % auf teilen in bspw. 15 % Verwaltung und 25 % direkte Sachkosten PL, sodass wie sonst auch eine Gemeinkostenpauschale für indirekte Kosten gibt</t>
        </r>
      </text>
    </comment>
    <comment ref="C71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Bspw.:
- Beantragte Summe DFG eintragen
- Hinweis auf Präsidiumsbeschluss
 - Kein Präsidiumsbeschluss, da versteckte Eigenanteile durch Ensparung im Projektbudget vollzogen werden
- ....</t>
        </r>
      </text>
    </comment>
  </commentList>
</comments>
</file>

<file path=xl/comments3.xml><?xml version="1.0" encoding="utf-8"?>
<comments xmlns="http://schemas.openxmlformats.org/spreadsheetml/2006/main">
  <authors>
    <author>Friess, Jessica</author>
  </authors>
  <commentList>
    <comment ref="H2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@FoFö: 
1. Blattschutz aufheben
2. Händischen Wert eintragen
3. Zelle farbig markieren
4. Blatt schützen</t>
        </r>
      </text>
    </comment>
    <comment ref="D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Außerhalb des rotes Feldes können bspw. eine Detailplanung zu den Sachkosten aufgeschlüsselt werden.</t>
        </r>
      </text>
    </comment>
    <comment ref="L18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Ggf. für bekanntes Personal in Absprache mit FoFö/Personalhaushalt anpassen</t>
        </r>
      </text>
    </comment>
    <comment ref="N20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Falls Person VBL bezieht: 12
Falls Person keine VBL bezieht: 0</t>
        </r>
      </text>
    </comment>
    <comment ref="R20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Falls Person VBL bezieht: 12
Falls Person keine VBL bezieht: 0</t>
        </r>
      </text>
    </comment>
    <comment ref="E29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nur in Absprache mit FoFö von 85 % abweichen</t>
        </r>
      </text>
    </comment>
  </commentList>
</comments>
</file>

<file path=xl/comments4.xml><?xml version="1.0" encoding="utf-8"?>
<comments xmlns="http://schemas.openxmlformats.org/spreadsheetml/2006/main">
  <authors>
    <author>Friess, Jessica</author>
  </authors>
  <commentList>
    <comment ref="M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@FoFö: 
1. Blattschutz aufheben
2. Händischen Wert eintragen
3. Zelle farbig markieren
4. Blatt schützen</t>
        </r>
      </text>
    </comment>
    <comment ref="K4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Außerhalb des rotes Feldes können bspw. eine Detailplanung zu den Sachkosten aufgeschlüsselt werden.</t>
        </r>
      </text>
    </comment>
    <comment ref="C10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Bei easy-online: Max. 2023 nutzen, da neue Tarife noch nicht feststehen</t>
        </r>
      </text>
    </comment>
  </commentList>
</comments>
</file>

<file path=xl/comments5.xml><?xml version="1.0" encoding="utf-8"?>
<comments xmlns="http://schemas.openxmlformats.org/spreadsheetml/2006/main">
  <authors>
    <author>Friess, Jessica</author>
  </authors>
  <commentList>
    <comment ref="R14" authorId="0" shapeId="0">
      <text>
        <r>
          <rPr>
            <b/>
            <sz val="9"/>
            <color indexed="81"/>
            <rFont val="Segoe UI"/>
            <charset val="1"/>
          </rPr>
          <t>Friess, Jessica:</t>
        </r>
        <r>
          <rPr>
            <sz val="9"/>
            <color indexed="81"/>
            <rFont val="Segoe UI"/>
            <charset val="1"/>
          </rPr>
          <t xml:space="preserve">
Erfahrungswert; Nur ändern, wenn Kosten belegbar</t>
        </r>
      </text>
    </comment>
  </commentList>
</comments>
</file>

<file path=xl/comments6.xml><?xml version="1.0" encoding="utf-8"?>
<comments xmlns="http://schemas.openxmlformats.org/spreadsheetml/2006/main">
  <authors>
    <author>Friess, Jessica</author>
  </authors>
  <commentList>
    <comment ref="F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ggf. Familienzuschlag individuell eintragen
der Einfachhei halber: aber mit 0 € rechnen, da Abrechnung später anders sein kann</t>
        </r>
      </text>
    </comment>
    <comment ref="G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Individuelle Leistungsbezüge;
der Einfachheit halber mit 0 € rechnen, da später dies ggf. nicht abrechenbar ist</t>
        </r>
      </text>
    </comment>
    <comment ref="K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Gilt für Interreg, Eigenanteile in NRW-Projekten o.ä.</t>
        </r>
      </text>
    </comment>
    <comment ref="L3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Gilt für Horizon Europe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Friess, Jessica:</t>
        </r>
        <r>
          <rPr>
            <sz val="9"/>
            <color indexed="81"/>
            <rFont val="Segoe UI"/>
            <family val="2"/>
          </rPr>
          <t xml:space="preserve">
W-Besoldung: es gibt bei W-Besoldung keine Stufen; daher Stufeneingabe ohne Bedeutung
C-Besoldung: Stufe entsprechend erfragen</t>
        </r>
      </text>
    </comment>
  </commentList>
</comments>
</file>

<file path=xl/sharedStrings.xml><?xml version="1.0" encoding="utf-8"?>
<sst xmlns="http://schemas.openxmlformats.org/spreadsheetml/2006/main" count="1292" uniqueCount="710">
  <si>
    <t>Entgeltgruppe</t>
  </si>
  <si>
    <t>Stufe</t>
  </si>
  <si>
    <t>VBL</t>
  </si>
  <si>
    <t>VBL-Steuer</t>
  </si>
  <si>
    <t>Arbeitgeber-Beiträge</t>
  </si>
  <si>
    <t>Rentenversicherung</t>
  </si>
  <si>
    <t>Arbeitslosenversicherung</t>
  </si>
  <si>
    <t>Krankenversicherung</t>
  </si>
  <si>
    <t>Pflegeversicherung</t>
  </si>
  <si>
    <t>Insolvenzgeldumlage</t>
  </si>
  <si>
    <t>Monatssatz</t>
  </si>
  <si>
    <t>Leistungsgruppe</t>
  </si>
  <si>
    <t>Stundensatz</t>
  </si>
  <si>
    <t>E11-E14</t>
  </si>
  <si>
    <t>WHK</t>
  </si>
  <si>
    <t>EFRE</t>
  </si>
  <si>
    <t>SHK/WHK</t>
  </si>
  <si>
    <t>* WHK können je nach Funktionsbeschreibung in LG 3 oder 4 eingeordnet werden</t>
  </si>
  <si>
    <t>Bitte Rücksprache mit dem Förderreferenten/Personalabteilung!</t>
  </si>
  <si>
    <t>Stunden pro Woche [h]</t>
  </si>
  <si>
    <t>Übersicht Kosten</t>
  </si>
  <si>
    <t>pro Stunde</t>
  </si>
  <si>
    <t>pro Woche</t>
  </si>
  <si>
    <t>pro Monat</t>
  </si>
  <si>
    <t>pro Jahr</t>
  </si>
  <si>
    <t>Arbeitsstunden [h]</t>
  </si>
  <si>
    <t>max. Wochenstunden [h]</t>
  </si>
  <si>
    <t>Wochen-Monats-Faktor</t>
  </si>
  <si>
    <t>Art</t>
  </si>
  <si>
    <t>Kürzel</t>
  </si>
  <si>
    <t>Grenze Sozialabgaben</t>
  </si>
  <si>
    <t>max. h / Woche</t>
  </si>
  <si>
    <t>Studentische Hilfskraft</t>
  </si>
  <si>
    <t>Wissenschaftliche Hilfskraft</t>
  </si>
  <si>
    <t>Arbeitnehmer-Brutto (AN-Brutto) [€]</t>
  </si>
  <si>
    <t>SV-AG-Anteil [%]</t>
  </si>
  <si>
    <t>SV-AG-Anteil [€]</t>
  </si>
  <si>
    <t>Lohn (inkl. Arbeitgeberanteil) [€]</t>
  </si>
  <si>
    <t>Zusatzinformation:</t>
  </si>
  <si>
    <t>Bitte nur die Angaben in blau unterlegten Felder ausfüllen bzw. auswählen!</t>
  </si>
  <si>
    <t xml:space="preserve">*Bei Einsatz von WHK (LG 4) und SHK (LG 4) entsteht immer ein Überschuss, der abhängig von der Stundenzahl ist. Bitte den Überschuss separat berechnen. </t>
  </si>
  <si>
    <t xml:space="preserve">Maximal 19 Stunden pro Woche! </t>
  </si>
  <si>
    <t>Maximal 19 Stunden pro Woche!</t>
  </si>
  <si>
    <t>Standard</t>
  </si>
  <si>
    <t>AIF-IGF</t>
  </si>
  <si>
    <t>ZIM</t>
  </si>
  <si>
    <t>VL</t>
  </si>
  <si>
    <t>AN-Brutto</t>
  </si>
  <si>
    <t>Regelmäßige wöchentliche Arbeitszeit</t>
  </si>
  <si>
    <t xml:space="preserve">Antragsrelevante Zahlen sind grün unterlegt! </t>
  </si>
  <si>
    <t>SHK</t>
  </si>
  <si>
    <t>Interreg</t>
  </si>
  <si>
    <t>entsprechende Entgeltgruppe</t>
  </si>
  <si>
    <t>Professoren</t>
  </si>
  <si>
    <t>E13</t>
  </si>
  <si>
    <t>E11-E12</t>
  </si>
  <si>
    <t>ab 2022</t>
  </si>
  <si>
    <t>KV Umlagen</t>
  </si>
  <si>
    <t>Gesamt inkl. Zusatzbeiträge</t>
  </si>
  <si>
    <t>Bei WHK/SHK angebene Wochenstunden im Tab "SHK u. WHK" beachten</t>
  </si>
  <si>
    <t>Bei WHK/SHK anzugebende Wochenstunden im Tab "SHK u. WHK" beachten</t>
  </si>
  <si>
    <t>Grundbeitrag + Durchschnittszusatzbeitrag: (14,6+1,2)/2</t>
  </si>
  <si>
    <t>U1=2,2%, U2=0,55%</t>
  </si>
  <si>
    <t>Studentische und wissenschaftliche Hilfskräfte</t>
  </si>
  <si>
    <t>Änderungen in den PKK-Version</t>
  </si>
  <si>
    <t>28 vs. 27:</t>
  </si>
  <si>
    <t>Logbook</t>
  </si>
  <si>
    <t>Jahresarbeitsstunden/Tagessatz</t>
  </si>
  <si>
    <t>Arbeitstage Horizon Europe</t>
  </si>
  <si>
    <t>• JF: EFRE Pauschalisierte Sätze bzgl. Vorlage "01.01.2020-30.06.2021"
• JF: EU HEU statt H2020 Reitername
• NH: Tagessätze satt Stundensätze für HEU
• JF: VL anteilsmäßig je Stellenumfang statt konstant 6,65 €
• JF: Summe SV mit 3 Nachkommastellen angegeben, das auch Pflegeversicherung 3 Nachkommastellen hat (Personalhaushalt rechnet hier aufgerundet mit 22,80 statt 22,795 %)
• JF: Ab 01.01.2022: Insolvenzgeldumlage: 0,15 % statt 0,12 %
• WHK ab 2021: 13,50 €</t>
  </si>
  <si>
    <t>Stand 3.12.2021</t>
  </si>
  <si>
    <t>JSZ</t>
  </si>
  <si>
    <t>E 15Ü</t>
  </si>
  <si>
    <t>E 15</t>
  </si>
  <si>
    <t>E 14</t>
  </si>
  <si>
    <t>E 13Ü</t>
  </si>
  <si>
    <t>E 13</t>
  </si>
  <si>
    <t>E 12</t>
  </si>
  <si>
    <t>E 11</t>
  </si>
  <si>
    <t>E 10</t>
  </si>
  <si>
    <t>E 9b</t>
  </si>
  <si>
    <t>E 9a</t>
  </si>
  <si>
    <t>E 8</t>
  </si>
  <si>
    <t>E 7</t>
  </si>
  <si>
    <t>E 6</t>
  </si>
  <si>
    <t>E 5</t>
  </si>
  <si>
    <t>E 4</t>
  </si>
  <si>
    <t>E 3</t>
  </si>
  <si>
    <t>E 2Ü</t>
  </si>
  <si>
    <t>E 2</t>
  </si>
  <si>
    <t>E 1</t>
  </si>
  <si>
    <t>bis Nov22</t>
  </si>
  <si>
    <t>Dez22-2023</t>
  </si>
  <si>
    <t>AG-Beiträge</t>
  </si>
  <si>
    <t>Tarifsteigerungen</t>
  </si>
  <si>
    <t>geschätzt</t>
  </si>
  <si>
    <t>Werte stehen fest</t>
  </si>
  <si>
    <t>Jahr</t>
  </si>
  <si>
    <t>Tarifsteigerung</t>
  </si>
  <si>
    <t>Förderlinie</t>
  </si>
  <si>
    <t>IGF/AiF</t>
  </si>
  <si>
    <t>DFG</t>
  </si>
  <si>
    <t>HEU</t>
  </si>
  <si>
    <t>AN-Brutto 100 %</t>
  </si>
  <si>
    <t>AG-Brutto inkl. JSZ 100 %</t>
  </si>
  <si>
    <t>Stellenanteil</t>
  </si>
  <si>
    <t>Summe SV</t>
  </si>
  <si>
    <t>SV: Insolvenzgeldumlage</t>
  </si>
  <si>
    <t>SV: KV-Umlagen U1, U2</t>
  </si>
  <si>
    <t>SV: Pflegeversicherung</t>
  </si>
  <si>
    <t>SV: Krankenversicherung</t>
  </si>
  <si>
    <t>SV: Arbeitslosenversicherung</t>
  </si>
  <si>
    <t>SV: Rentenversicherung</t>
  </si>
  <si>
    <t>AG-Brutto ohne JSZ [Monat]</t>
  </si>
  <si>
    <t>AG-Brutto ohne JSZ [Jahr]</t>
  </si>
  <si>
    <t>AG-Brutto mit JSZ [Monat]</t>
  </si>
  <si>
    <t>AG-Brutto mit JSZ [Jahr]</t>
  </si>
  <si>
    <t>AG-Brutto ink. JSZ [Stunde] bei x Jahres-h</t>
  </si>
  <si>
    <t>Auswahlfelder</t>
  </si>
  <si>
    <t>E 1</t>
  </si>
  <si>
    <t>AiF / IGF</t>
  </si>
  <si>
    <t>Personalpauschale</t>
  </si>
  <si>
    <t>Hinweis zur Förderlinie</t>
  </si>
  <si>
    <t>IGF: IGF-Brutto</t>
  </si>
  <si>
    <t>ZIM: Weitere fixe Gehaltsbestandteile</t>
  </si>
  <si>
    <t>JSZ insgesamt (als AG-Brutto)</t>
  </si>
  <si>
    <t>ZIM: JSZ insgesamt (als AN-Brutto)</t>
  </si>
  <si>
    <t>Förderlinieneingruppierung wählen</t>
  </si>
  <si>
    <t>E5-E10, WHK</t>
  </si>
  <si>
    <t>Prof.</t>
  </si>
  <si>
    <t>E5-10, WHK</t>
  </si>
  <si>
    <t>SHK, WHK</t>
  </si>
  <si>
    <t>SHK, WHK, Vertretungen</t>
  </si>
  <si>
    <t>E2.1 - E9.2</t>
  </si>
  <si>
    <t>E9 - E12</t>
  </si>
  <si>
    <t>E13.2 - E14.1</t>
  </si>
  <si>
    <t>Ä1.2 - Ä2.1</t>
  </si>
  <si>
    <t>E13.3 - E14.2</t>
  </si>
  <si>
    <t>E14.5 - E15.4</t>
  </si>
  <si>
    <t>W-Besoldung</t>
  </si>
  <si>
    <t>Promoviertes Personal o. sonstige wiss. Beschäftigte ohne Promotionsabsicht mit mindestens 3-jähriger Berufserfahrung</t>
  </si>
  <si>
    <t>Beschäftigte, die nach TV-Ä vergütet werden (inkl.) Rotationsstellen</t>
  </si>
  <si>
    <t xml:space="preserve">Promovierende o. sonstige wiss. Beschäftigte ohne Promotionsabsicht mit weniger als 3 Jahren Berufserfahrung </t>
  </si>
  <si>
    <t xml:space="preserve">Beschäftigte mit Bachelorabschluss </t>
  </si>
  <si>
    <t>Techn. Personal</t>
  </si>
  <si>
    <t>Beschäftigte mit Bachelorabschluss</t>
  </si>
  <si>
    <t>Differenz pro Monat bei EFRE/Interreg/DFG</t>
  </si>
  <si>
    <t>Personalkostenkalkulator PKK29</t>
  </si>
  <si>
    <t>Detailberechnungen</t>
  </si>
  <si>
    <t>Hilfsindex 1</t>
  </si>
  <si>
    <t>HEU:AG-Brutto ink. JSZ [Tag] --&gt; HEU</t>
  </si>
  <si>
    <t>JSZ (als AG-Brutto) [Monat]</t>
  </si>
  <si>
    <t xml:space="preserve">Zusatzinfo: In ZIM ist nur das AN_Brutto und einige fixe Sonderzahlungen (Jahressonderzahlung, VL, VBL) förderfähig. Außerdem sind nur die produktiven Jahresarbeitsstunden förderfähig (= 10,5 PM = Personenmonate). Alle übrigen Kosten (restliche 1,5 PM und gesamte übrige Personalausgaben wie AG-SV-Anteil sind aus dem Zuschlag für übrige Kosten zu begleichen. Kalkulieren Sie Ihre Projektausgaben daher bitte so, dass dieser Zuschlag für übrige Kosten möglichst optimiert wird (max. 85% der kalkulierten Personaleinzelkosten). Bei den Personalkosten gilt für NN-Personal der Tarif und die Eingruppierung zum Zeitpunkt des ersten Einsatzes der Person im Projekt. Bei bekannten/bereits an der HN arbeitenden Personen wird mit dem Gehalt zur Zeit der Antragstellung kalkuliert! </t>
  </si>
  <si>
    <t>29 vs. 28:</t>
  </si>
  <si>
    <t>Tarife ab 2022 eingepflegt</t>
  </si>
  <si>
    <t>Einfache Abfrage generiert.</t>
  </si>
  <si>
    <t>Tabelle mit schnellen Übersicht AN-Brutto und AG-Brutto angelegt.</t>
  </si>
  <si>
    <t>EFRE-Sätze auf Juli 2021 aktualisiert</t>
  </si>
  <si>
    <t>DFG-Sätze 2022 integriert</t>
  </si>
  <si>
    <t>Hilfsindex 2</t>
  </si>
  <si>
    <t>ToDo</t>
  </si>
  <si>
    <t>Nur die Angaben in blau unterlegten Felder ausfüllen bzw. auswählen!</t>
  </si>
  <si>
    <t>Die Löhne für SHK u. WHK sind festgelegt und werden bei Änderungen des Tarifs TV-L nicht mit angepasst!</t>
  </si>
  <si>
    <t>Tariferhöhung auf 2,3 % angesetzt.</t>
  </si>
  <si>
    <t>VBL-Steuer auf Stellenanteil bezogen statt pauschal 21,05 €. Hintergrund: Eigentlich gibt es einen Schwellenwert, ab dem ca. 20 € greifen.</t>
  </si>
  <si>
    <t>Nur noch Blaue Zellen sind veränderbar.</t>
  </si>
  <si>
    <t>Blattschutz ohne Kennwort</t>
  </si>
  <si>
    <t>Jahressonderzahlung TV-L</t>
  </si>
  <si>
    <t>E 14 bis E 15</t>
  </si>
  <si>
    <t>E 12 bis E 13</t>
  </si>
  <si>
    <t>E 9a bis E 11</t>
  </si>
  <si>
    <t>E 5 bis E 8</t>
  </si>
  <si>
    <t>E 1 bis E 4</t>
  </si>
  <si>
    <t>Steigerung</t>
  </si>
  <si>
    <t>ab Dez. 22</t>
  </si>
  <si>
    <t>*JF: berechnet</t>
  </si>
  <si>
    <t>ab Dez 22</t>
  </si>
  <si>
    <t>Jahr / Gruppe</t>
  </si>
  <si>
    <t>Unterschrift Projektleitung</t>
  </si>
  <si>
    <t>für Verwaltung</t>
  </si>
  <si>
    <t>für PL</t>
  </si>
  <si>
    <t xml:space="preserve">davon </t>
  </si>
  <si>
    <t>Geförderte Pauschale</t>
  </si>
  <si>
    <t>versteckt</t>
  </si>
  <si>
    <t>Eigenanteil</t>
  </si>
  <si>
    <t>durch HSNR nachzuweisen</t>
  </si>
  <si>
    <t>auf Gesamtsumme</t>
  </si>
  <si>
    <t>"imaginärer Anteil", nicht durch PL nachzuweisen</t>
  </si>
  <si>
    <t xml:space="preserve">auf Pauschale </t>
  </si>
  <si>
    <t>durch PL nachzuweisen</t>
  </si>
  <si>
    <t>auf direkte Kosten</t>
  </si>
  <si>
    <t>verbindlich</t>
  </si>
  <si>
    <t>Gesamt</t>
  </si>
  <si>
    <t>Pauschale</t>
  </si>
  <si>
    <t>Summe</t>
  </si>
  <si>
    <t>Sachkosten/Investitionen</t>
  </si>
  <si>
    <t>Reisekosten</t>
  </si>
  <si>
    <t>h/Woche</t>
  </si>
  <si>
    <t xml:space="preserve">Start </t>
  </si>
  <si>
    <t>Monate</t>
  </si>
  <si>
    <t>Projektdauer</t>
  </si>
  <si>
    <t>Tariferhöhung</t>
  </si>
  <si>
    <t>Formel</t>
  </si>
  <si>
    <t>frei eintippen</t>
  </si>
  <si>
    <t>easy-online</t>
  </si>
  <si>
    <t>Hilfsindex4 - eo</t>
  </si>
  <si>
    <t>Zwischensumme Personalkosten</t>
  </si>
  <si>
    <t>FTE-PM</t>
  </si>
  <si>
    <t>KM</t>
  </si>
  <si>
    <t>Infos</t>
  </si>
  <si>
    <t xml:space="preserve">ja </t>
  </si>
  <si>
    <t>nein</t>
  </si>
  <si>
    <t>Stufenerhöhung</t>
  </si>
  <si>
    <t>nur in Abstimmung mit FoFö ändern</t>
  </si>
  <si>
    <t>Projekttitel</t>
  </si>
  <si>
    <t>Projektleitung</t>
  </si>
  <si>
    <t>HSNR intern</t>
  </si>
  <si>
    <t>Anteil PL an Pauschale nach Projektende</t>
  </si>
  <si>
    <t>NN</t>
  </si>
  <si>
    <t>Name:</t>
  </si>
  <si>
    <t>Kostenart</t>
  </si>
  <si>
    <t>Zwischensumme</t>
  </si>
  <si>
    <t>Tarifpersonal</t>
  </si>
  <si>
    <t>Tarife bis</t>
  </si>
  <si>
    <t>Eigene Notizen und Rechnungen können außerhalb des roten Feldes getätigt werden.</t>
  </si>
  <si>
    <t>Unterschied zur nächsten Stufe</t>
  </si>
  <si>
    <t>Anm. PL</t>
  </si>
  <si>
    <t>Budgetstelle für Eigenanteile angeben</t>
  </si>
  <si>
    <t>Anm. FoFö</t>
  </si>
  <si>
    <t>Personalkosten im Detail</t>
  </si>
  <si>
    <t>max. (eigene Kontrollsumme)</t>
  </si>
  <si>
    <t>voraussichtliche Kosten</t>
  </si>
  <si>
    <t>Hilfsindex3 - vK</t>
  </si>
  <si>
    <t>Projektkosten</t>
  </si>
  <si>
    <t>Jahressonderzahlung für E13Ü Stufe 4, 5, 6 angepasst</t>
  </si>
  <si>
    <t>Bei NN-Personal: i.d.R. Stufe 3</t>
  </si>
  <si>
    <t>Voraussichtliche Personalkosten im Detail</t>
  </si>
  <si>
    <t>Interreg-LG 3: E11-E12</t>
  </si>
  <si>
    <t>Interreg-LG 2: E13</t>
  </si>
  <si>
    <t>Interreg-LG 1: Professoren</t>
  </si>
  <si>
    <t>Interreg-LG 4: E5-E10, WHK</t>
  </si>
  <si>
    <t>Interreg-LG 5: SHK</t>
  </si>
  <si>
    <t>EFRE-LG 1: Prof.</t>
  </si>
  <si>
    <t>EFRE-LG 2: E11-E14</t>
  </si>
  <si>
    <t>EFRE-LG 3: E5-10, WHK</t>
  </si>
  <si>
    <t>EFRE-LG 4: SHK, WHK</t>
  </si>
  <si>
    <t>Pauschalwert</t>
  </si>
  <si>
    <t>Für Pauschale Projektkosten</t>
  </si>
  <si>
    <t>DFG 1: Professur</t>
  </si>
  <si>
    <t>DFG 2: Nachwuchsgruppenleitung</t>
  </si>
  <si>
    <t>DFG 3: Postdoc u.ä.</t>
  </si>
  <si>
    <t>DFG 4: Ärztliche wiss. MA</t>
  </si>
  <si>
    <t>DFG 5: Doktorand:in u.ä.</t>
  </si>
  <si>
    <t>DFG 6: Sonstige wiss. MA</t>
  </si>
  <si>
    <t>DFG 7: Nicht-wiss. MA</t>
  </si>
  <si>
    <t>DFG 8: Sonstige Personalmittel</t>
  </si>
  <si>
    <t>Interreg_LG_2:_E13</t>
  </si>
  <si>
    <t>Interreg_LG_3:_E11_E12</t>
  </si>
  <si>
    <t>Interreg_LG_4:_E5_E10,_WHK</t>
  </si>
  <si>
    <t>Interreg_LG_5:_SHK</t>
  </si>
  <si>
    <t>EFRE_LG_1:_Prof.</t>
  </si>
  <si>
    <t>EFRE_LG_2:_E11_E14</t>
  </si>
  <si>
    <t>EFRE_LG_3:_E5_10,_WHK</t>
  </si>
  <si>
    <t>EFRE_LG_4:_SHK,_WHK</t>
  </si>
  <si>
    <t>DFG_1:_Professur</t>
  </si>
  <si>
    <t>DFG_2:_Nachwuchsgruppenleitung</t>
  </si>
  <si>
    <t>DFG_3:_Postdoc_u.ä.</t>
  </si>
  <si>
    <t>DFG_4:_Ärztliche_wiss._MA</t>
  </si>
  <si>
    <t>DFG_5:_Doktorand:in_u.ä.</t>
  </si>
  <si>
    <t>DFG_6:_Sonstige_wiss._MA</t>
  </si>
  <si>
    <t>DFG_7:_Nicht_wiss._MA</t>
  </si>
  <si>
    <t>DFG_8:_Sonstige_Personalmittel</t>
  </si>
  <si>
    <t>Interreg_LG_1:_Professoren</t>
  </si>
  <si>
    <t>Hilfsindex3</t>
  </si>
  <si>
    <t xml:space="preserve">Beantragbare Personalkosten </t>
  </si>
  <si>
    <t>29-2 vs. 29</t>
  </si>
  <si>
    <t>Unteraufträge</t>
  </si>
  <si>
    <t>Horizont Europe o.ä.</t>
  </si>
  <si>
    <t>normal</t>
  </si>
  <si>
    <t>Check für Pauschal</t>
  </si>
  <si>
    <t>W1</t>
  </si>
  <si>
    <t>W2</t>
  </si>
  <si>
    <t>W3</t>
  </si>
  <si>
    <t>C3</t>
  </si>
  <si>
    <t>C4</t>
  </si>
  <si>
    <t>C1</t>
  </si>
  <si>
    <t>C2</t>
  </si>
  <si>
    <t>Arbeitgeberbrutto</t>
  </si>
  <si>
    <t>geänderte Formeln hervorheben</t>
  </si>
  <si>
    <t>Einfache Abfrage: Prof.-Kosten</t>
  </si>
  <si>
    <t>Besoldung</t>
  </si>
  <si>
    <t>Grundkosten</t>
  </si>
  <si>
    <t>Individuell LB</t>
  </si>
  <si>
    <t>AG-Kosten</t>
  </si>
  <si>
    <t>Hilfsindex1</t>
  </si>
  <si>
    <t>Hilfsindex2</t>
  </si>
  <si>
    <t>ggf. Familienzuschlag</t>
  </si>
  <si>
    <t>Mittelwert</t>
  </si>
  <si>
    <t>Blaue Felder bei Bedarf ausfüllen</t>
  </si>
  <si>
    <t>&gt; 24 h</t>
  </si>
  <si>
    <t>11 - 24 h</t>
  </si>
  <si>
    <t>8 - 11 h</t>
  </si>
  <si>
    <t>Deutschland</t>
  </si>
  <si>
    <t>Kleinstadt</t>
  </si>
  <si>
    <t>Großstadt</t>
  </si>
  <si>
    <t>Konferenzhotel mit Nachweis</t>
  </si>
  <si>
    <t>International</t>
  </si>
  <si>
    <t>Äthiopien</t>
  </si>
  <si>
    <t>Kilometerpauschale</t>
  </si>
  <si>
    <t>Reisezweck</t>
  </si>
  <si>
    <t>Anzahl Reisende</t>
  </si>
  <si>
    <t>Tagesgeld</t>
  </si>
  <si>
    <t>Hin und zurück normal</t>
  </si>
  <si>
    <t>Einfache Strecke in km</t>
  </si>
  <si>
    <t>Anlage zu § 3 Absatz 1 Auslandskostenerstattungsverordnung</t>
  </si>
  <si>
    <t>Verordnung über die Erstattungen von Aufwendungen im Zusammenhang mit dienstlich veranlasstem Auslandsaufenthalt (Auslandskostenerstattungsverordnung – AKEVO)</t>
  </si>
  <si>
    <t>Auslandstagegeld</t>
  </si>
  <si>
    <t>Auslandsübernachtungsgeld</t>
  </si>
  <si>
    <t>mindestens 24 Stunden abwesend</t>
  </si>
  <si>
    <t>weniger als 24 aber mehr als 11 Stunden abwesend</t>
  </si>
  <si>
    <t>mehr als 8 bis 11 Stunden abwesend</t>
  </si>
  <si>
    <t>bis zu …Euro mit Nachweis*</t>
  </si>
  <si>
    <t>ohne Nachweis</t>
  </si>
  <si>
    <t>Minimum</t>
  </si>
  <si>
    <t>Maximum</t>
  </si>
  <si>
    <t>EWR (gemittelt)</t>
  </si>
  <si>
    <t>Bulgarien</t>
  </si>
  <si>
    <t>Norwegen</t>
  </si>
  <si>
    <t>Ungarn</t>
  </si>
  <si>
    <t>Liechtenstein</t>
  </si>
  <si>
    <t>Weltweit (gemittelt)</t>
  </si>
  <si>
    <t>Weißrussland</t>
  </si>
  <si>
    <t>Türkei - Izmir</t>
  </si>
  <si>
    <t>Vereinigte Staaten von Amerika (USA) - San Francisco</t>
  </si>
  <si>
    <t>Afghanistan</t>
  </si>
  <si>
    <t>Ägypten</t>
  </si>
  <si>
    <t xml:space="preserve">Deutschland </t>
  </si>
  <si>
    <t>Äquatorialguinea</t>
  </si>
  <si>
    <t>Albanien</t>
  </si>
  <si>
    <t>Algerien</t>
  </si>
  <si>
    <t>Andorra</t>
  </si>
  <si>
    <t>Angola</t>
  </si>
  <si>
    <t>Argentinien</t>
  </si>
  <si>
    <t>Armenien</t>
  </si>
  <si>
    <t>Aserbaidschan</t>
  </si>
  <si>
    <t>Australien - Canberra</t>
  </si>
  <si>
    <t>Tägliche Anreise, d.h. keine Übernachtungskosten</t>
  </si>
  <si>
    <t>Australien - Sydney</t>
  </si>
  <si>
    <t>Australien -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</si>
  <si>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</si>
  <si>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</si>
  <si>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</si>
  <si>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</si>
  <si>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</si>
  <si>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</si>
  <si>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</si>
  <si>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</si>
  <si>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 - Brasilia</t>
  </si>
  <si>
    <t>Brasilien - Rio de Janeiro</t>
  </si>
  <si>
    <t>Brasilien - Sao Paulo</t>
  </si>
  <si>
    <t>Brasilien - im Übrigen</t>
  </si>
  <si>
    <t>Brunei</t>
  </si>
  <si>
    <t>Burkina Faso</t>
  </si>
  <si>
    <t>Burundi</t>
  </si>
  <si>
    <t>Chile</t>
  </si>
  <si>
    <t>China - Chengdu</t>
  </si>
  <si>
    <t>China - Hongkong</t>
  </si>
  <si>
    <t>China - Kanton</t>
  </si>
  <si>
    <t>China - Peking</t>
  </si>
  <si>
    <t>China - Shanghai</t>
  </si>
  <si>
    <t>China - im Übrigen</t>
  </si>
  <si>
    <t>Costa Rica</t>
  </si>
  <si>
    <t>Côte d'Ivoire</t>
  </si>
  <si>
    <t>Dänemark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</si>
  <si>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</si>
  <si>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</si>
  <si>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</si>
  <si>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</si>
  <si>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</si>
  <si>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</si>
  <si>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</si>
  <si>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</si>
  <si>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 - Lyon</t>
  </si>
  <si>
    <t>Frankreich - Marseille</t>
  </si>
  <si>
    <t>Frankreich - Paris sowie die Departements 92, 93 und 94</t>
  </si>
  <si>
    <t>Frankreich - Straßburg</t>
  </si>
  <si>
    <t>Frankreich - im Übrigen</t>
  </si>
  <si>
    <t>Gabun</t>
  </si>
  <si>
    <t>Gambia</t>
  </si>
  <si>
    <t>Georgien</t>
  </si>
  <si>
    <t>Ghana</t>
  </si>
  <si>
    <t>Griechenland - Athen</t>
  </si>
  <si>
    <t>Griechenland - im Übrigen</t>
  </si>
  <si>
    <t>Guatemala</t>
  </si>
  <si>
    <t>Guinea</t>
  </si>
  <si>
    <t>Guinea-Bissau</t>
  </si>
  <si>
    <t>Haiti</t>
  </si>
  <si>
    <t>Honduras</t>
  </si>
  <si>
    <t>Indien - Bangalore</t>
  </si>
  <si>
    <t>Indien - Chennai</t>
  </si>
  <si>
    <t>Indien - Kalkutta</t>
  </si>
  <si>
    <t>Indien - Mumbai</t>
  </si>
  <si>
    <t>Indien - Neu Delhi</t>
  </si>
  <si>
    <t>Indien - im Übrigen</t>
  </si>
  <si>
    <t>Indonesien</t>
  </si>
  <si>
    <t>Iran</t>
  </si>
  <si>
    <t>Irland</t>
  </si>
  <si>
    <t>Island</t>
  </si>
  <si>
    <t>Israel</t>
  </si>
  <si>
    <t>Italien - Mailand</t>
  </si>
  <si>
    <t>Italien - Rom</t>
  </si>
  <si>
    <t>Italien - im Übrigen</t>
  </si>
  <si>
    <t>Jamaika</t>
  </si>
  <si>
    <t>Japan - Tokio</t>
  </si>
  <si>
    <t>Japan - im Übrigen</t>
  </si>
  <si>
    <t>Jemen</t>
  </si>
  <si>
    <t>Jordanien</t>
  </si>
  <si>
    <t>Kambodscha</t>
  </si>
  <si>
    <t>Kamerun</t>
  </si>
  <si>
    <t>Kanada - Ottawa</t>
  </si>
  <si>
    <t>Kanada - Toronto</t>
  </si>
  <si>
    <t>Kanada - Vancouver</t>
  </si>
  <si>
    <t>Kanada - im Übrigen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</si>
  <si>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</si>
  <si>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</si>
  <si>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</si>
  <si>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</si>
  <si>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</si>
  <si>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</si>
  <si>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</si>
  <si>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</si>
  <si>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</si>
  <si>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</si>
  <si>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</si>
  <si>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</si>
  <si>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</si>
  <si>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</si>
  <si>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</si>
  <si>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</si>
  <si>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</si>
  <si>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</si>
  <si>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</si>
  <si>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</si>
  <si>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</si>
  <si>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</si>
  <si>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</si>
  <si>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</si>
  <si>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</si>
  <si>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</si>
  <si>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</si>
  <si>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</si>
  <si>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</si>
  <si>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Mauretanien</t>
  </si>
  <si>
    <t>Mauritius</t>
  </si>
  <si>
    <t>Mazedonien</t>
  </si>
  <si>
    <t>Mexiko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</si>
  <si>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</si>
  <si>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</si>
  <si>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</si>
  <si>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</si>
  <si>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</si>
  <si>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</si>
  <si>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</si>
  <si>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</si>
  <si>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</si>
  <si>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</si>
  <si>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</si>
  <si>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</si>
  <si>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</si>
  <si>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Österreich</t>
  </si>
  <si>
    <t>Oman</t>
  </si>
  <si>
    <t>Pakistan - Islamabad</t>
  </si>
  <si>
    <t>Pakistan - im Übrigen</t>
  </si>
  <si>
    <t>Palau</t>
  </si>
  <si>
    <t>Panama</t>
  </si>
  <si>
    <t>Papua-Neuguinea</t>
  </si>
  <si>
    <t>Paraguay</t>
  </si>
  <si>
    <t>Peru</t>
  </si>
  <si>
    <t>Philippinen **)</t>
  </si>
  <si>
    <t>Polen - Breslau</t>
  </si>
  <si>
    <t>Polen - Danzig</t>
  </si>
  <si>
    <t>Polen - Krakau</t>
  </si>
  <si>
    <t>Polen - Warschau</t>
  </si>
  <si>
    <t>Polen - im Übrigen</t>
  </si>
  <si>
    <t>Portugal</t>
  </si>
  <si>
    <t>Ruanda</t>
  </si>
  <si>
    <t>Rumänien - Bukarest</t>
  </si>
  <si>
    <t>Rumänien - im Übrigen</t>
  </si>
  <si>
    <t>Russische Förderation - Jekaterinburg</t>
  </si>
  <si>
    <t>Russische Förderation - Moskau</t>
  </si>
  <si>
    <t>Russische Förderation - St. Petersburg</t>
  </si>
  <si>
    <t>Russische Förderation - im Übrigen</t>
  </si>
  <si>
    <t>Sambia</t>
  </si>
  <si>
    <t>Samoa</t>
  </si>
  <si>
    <t>San Marino</t>
  </si>
  <si>
    <t>São Tomé und Príncipe</t>
  </si>
  <si>
    <t>Saudi Arabien - Djidda</t>
  </si>
  <si>
    <t>Saudi Arabien - Riad</t>
  </si>
  <si>
    <t>Saudi Arabien - im Übrigen</t>
  </si>
  <si>
    <t>Schweden</t>
  </si>
  <si>
    <t>Schweiz - Genf</t>
  </si>
  <si>
    <t>Schweiz - im Übrigen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</si>
  <si>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</si>
  <si>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</si>
  <si>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</si>
  <si>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</si>
  <si>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</si>
  <si>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</si>
  <si>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</si>
  <si>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 - Barcelona</t>
  </si>
  <si>
    <t>Spanien - Kanarische Inseln</t>
  </si>
  <si>
    <t>Spanien - Madrid</t>
  </si>
  <si>
    <t>Spanien - Palma de Mallorca</t>
  </si>
  <si>
    <t>Spanien - im Übrigen</t>
  </si>
  <si>
    <t>Sri Lanka</t>
  </si>
  <si>
    <t>Sudan</t>
  </si>
  <si>
    <t>Südafrika - Kapstadt</t>
  </si>
  <si>
    <t>Südafrika - Johannesburg</t>
  </si>
  <si>
    <t>Südafrika - im Übrigen</t>
  </si>
  <si>
    <t>Südsudan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</si>
  <si>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</si>
  <si>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</si>
  <si>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</si>
  <si>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</si>
  <si>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</si>
  <si>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</si>
  <si>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</si>
  <si>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 ***)</t>
  </si>
  <si>
    <t>Tschad</t>
  </si>
  <si>
    <t>Tschechische Republik</t>
  </si>
  <si>
    <t>Türkei - Istanbul</t>
  </si>
  <si>
    <t>Türkei - im Übrigen</t>
  </si>
  <si>
    <t>Tunesien</t>
  </si>
  <si>
    <t>Turkmenistan</t>
  </si>
  <si>
    <t>Uganda</t>
  </si>
  <si>
    <t>Ukraine</t>
  </si>
  <si>
    <t>Uruguay</t>
  </si>
  <si>
    <t>Usbekistan</t>
  </si>
  <si>
    <t>Vatikanstaat</t>
  </si>
  <si>
    <t>Venezuela</t>
  </si>
  <si>
    <t>Vereinigte Arabische Emirate</t>
  </si>
  <si>
    <t>Vereinigte Staaten von Amerika (USA) - Atlanta</t>
  </si>
  <si>
    <t>Vereinigte Staaten von Amerika (USA) - Boston</t>
  </si>
  <si>
    <t>Vereinigte Staaten von Amerika (USA) - Chicago</t>
  </si>
  <si>
    <t>Vereinigte Staaten von Amerika (USA) - Houston</t>
  </si>
  <si>
    <t>Vereinigte Staaten von Amerika (USA) - Los Angeles</t>
  </si>
  <si>
    <t>Vereinigte Staaten von Amerika (USA) - Miami</t>
  </si>
  <si>
    <t>Vereinigte Staaten von Amerika (USA) - New York City</t>
  </si>
  <si>
    <t>Vereinigte Staaten von Amerika (USA) - Washington, D. C.</t>
  </si>
  <si>
    <t>Vereinigte Staaten von Amerika (USA) - im Übrigen</t>
  </si>
  <si>
    <t>Vereinigtes Königreich von Groß-britannien und Nordirland - London</t>
  </si>
  <si>
    <t>Vereinigtes Königreich von Groß- britannien und Nordirland - im Übrigen</t>
  </si>
  <si>
    <t>Vietnam</t>
  </si>
  <si>
    <t>Zentralafrikanische Republik</t>
  </si>
  <si>
    <t>Zypern</t>
  </si>
  <si>
    <t>Graue Felder werden automatisch ausgerechnet</t>
  </si>
  <si>
    <t>Dieses Formular dient nur für Reisekostenabschätzungen für Drittmittelanträge.</t>
  </si>
  <si>
    <t>Ort</t>
  </si>
  <si>
    <t>Unter Umständen können weitere Sachen hinzukommen bzw. entfallen, bspw. wenn Mahlzeiten gestellt werden, Tagesgeld ist abhängig vom realen Grenzübertritt; bei längeren Auslandsdienstreisen verringern sich ggf. die Tagesgelder</t>
  </si>
  <si>
    <t>Vorname Name</t>
  </si>
  <si>
    <t>Aktuell</t>
  </si>
  <si>
    <t>Hochrechnung 1</t>
  </si>
  <si>
    <t>Hochrechnung 2</t>
  </si>
  <si>
    <t>Eingruppierung</t>
  </si>
  <si>
    <t>Jahressonderzahlung (JSZ)</t>
  </si>
  <si>
    <t>Entgelt laut Tabelle für VZÄ</t>
  </si>
  <si>
    <t>Entgelt</t>
  </si>
  <si>
    <t>Sonstige Zulagen</t>
  </si>
  <si>
    <t>Entgelt inkl. Technikerzulage / Gesamtgrundgehalt</t>
  </si>
  <si>
    <t>Steuern AG</t>
  </si>
  <si>
    <t>Vermögensb. AG-Anteil</t>
  </si>
  <si>
    <t>Gesamt-AG-Brutto</t>
  </si>
  <si>
    <t>Stellenumfang Vertrag</t>
  </si>
  <si>
    <t>Jahressonderzahlung</t>
  </si>
  <si>
    <t>Gesamt-AG-Brutto inkl. JSZ</t>
  </si>
  <si>
    <r>
      <rPr>
        <b/>
        <sz val="11"/>
        <color theme="1"/>
        <rFont val="Calibri"/>
        <family val="2"/>
        <scheme val="minor"/>
      </rPr>
      <t>Anmerkung:</t>
    </r>
    <r>
      <rPr>
        <sz val="11"/>
        <color theme="1"/>
        <rFont val="Calibri"/>
        <family val="2"/>
        <scheme val="minor"/>
      </rPr>
      <t xml:space="preserve"> </t>
    </r>
  </si>
  <si>
    <t>Anteil im Projekt (bzgl. VZÄ)</t>
  </si>
  <si>
    <t>Stellenumfang Projekt</t>
  </si>
  <si>
    <t>Zeitraum: Gilt von</t>
  </si>
  <si>
    <t>Zeitraum: Gilt bis</t>
  </si>
  <si>
    <t>Hochrechnung 3</t>
  </si>
  <si>
    <t>aktuell</t>
  </si>
  <si>
    <t>Krankenversicherung (AG-Zuschuss KV)</t>
  </si>
  <si>
    <t>Krankenversicherung (SV2-Umlage)</t>
  </si>
  <si>
    <t>Krankenversicherung (Zusatzbeitrag AG-Zuschuss)</t>
  </si>
  <si>
    <t>VBL (ZV-Umlage, allgemein)</t>
  </si>
  <si>
    <t>Ende</t>
  </si>
  <si>
    <t>Stellenumfang VZÄ</t>
  </si>
  <si>
    <t>&lt;-- Werte zum Eintragen in easy-online</t>
  </si>
  <si>
    <t>Wochenarbeitszeit laut Vertrag</t>
  </si>
  <si>
    <t>erläutern ...</t>
  </si>
  <si>
    <t>&lt;-- Werte zum internen Planen/Kalkulieren nutzen</t>
  </si>
  <si>
    <t>Stellenanteil (Vertrag) h/Woche</t>
  </si>
  <si>
    <t>Stellenanteil h/Woche</t>
  </si>
  <si>
    <t>Tarifgrundlage TV-L</t>
  </si>
  <si>
    <t>feststehend</t>
  </si>
  <si>
    <t xml:space="preserve">29-4 vs. 29-3 </t>
  </si>
  <si>
    <t>kleinere Bugs angepasst</t>
  </si>
  <si>
    <t>neue (vorläufige) Interreg Personalsätze hinterlegt</t>
  </si>
  <si>
    <t xml:space="preserve">Interreg: Jahresarbeitsstunden: 1720 (zuvor 1650)
</t>
  </si>
  <si>
    <t>Prof-Reiter: Stundenberechnung hinterlegt</t>
  </si>
  <si>
    <t>Förderprogramm</t>
  </si>
  <si>
    <t>Arbeitsstunden</t>
  </si>
  <si>
    <t>Horizon Europe / EU</t>
  </si>
  <si>
    <t>Tagessatz HEU</t>
  </si>
  <si>
    <t>h/Jahr</t>
  </si>
  <si>
    <t>Interreg-Pauschale</t>
  </si>
  <si>
    <t>Prio I</t>
  </si>
  <si>
    <t>Prio II</t>
  </si>
  <si>
    <t>Prio III</t>
  </si>
  <si>
    <t>Prio IV</t>
  </si>
  <si>
    <t>Ausnahme</t>
  </si>
  <si>
    <t>auswählen</t>
  </si>
  <si>
    <t>ggf. Auswahl</t>
  </si>
  <si>
    <t>Zusammenfassung</t>
  </si>
  <si>
    <t>Zusammenfassung EFRE</t>
  </si>
  <si>
    <t>Zusammenfassung Interreg</t>
  </si>
  <si>
    <t>Zusammenfassung DFG</t>
  </si>
  <si>
    <t>Versteckter Eigenanteil</t>
  </si>
  <si>
    <t>Verbindl. Eigenanteil PL</t>
  </si>
  <si>
    <t>Rückfluss PL 70 % Pauschale</t>
  </si>
  <si>
    <t>oder Überschuss</t>
  </si>
  <si>
    <t>Techn. Hilfe</t>
  </si>
  <si>
    <t>Verwaltung</t>
  </si>
  <si>
    <t>Ggf. Ausnahme-Pauschale</t>
  </si>
  <si>
    <t>Als Eigenanteil zu erbringen</t>
  </si>
  <si>
    <t>Überschuss</t>
  </si>
  <si>
    <t>Einschub Pauschale: Ausnahme</t>
  </si>
  <si>
    <t>Vgl. mit geplanten Sachkosten</t>
  </si>
  <si>
    <t>Interreg-Formeln (ins. 40-%-Puaschale ergänzt)</t>
  </si>
  <si>
    <t>DFG, EFRE, Interreg Zusammengefasst</t>
  </si>
  <si>
    <t>Jahresaufteilung EFRE rechts ergänzt</t>
  </si>
  <si>
    <t>Bzw. eher zusätzliche Zeilenblöcke für t, h, p -Personal um mehr Person im Projekt zu planen, GGf. dann zählen wenn.</t>
  </si>
  <si>
    <t>AiF einpflegen</t>
  </si>
  <si>
    <t>Kilometerpauschale für Mitreisende von 0,02 auf 0,05 € angehoben laut NRW LRKG vom 15.05.2022</t>
  </si>
  <si>
    <t>Fahrtkosten</t>
  </si>
  <si>
    <t>Übernachtungskosten</t>
  </si>
  <si>
    <t>Teilnahmegebühren</t>
  </si>
  <si>
    <t>Sonstige Kosten</t>
  </si>
  <si>
    <t>Gesamtkosten</t>
  </si>
  <si>
    <t>National / Reisen innerhalb in D</t>
  </si>
  <si>
    <t>Reiseinformationen</t>
  </si>
  <si>
    <t>je weitere Person</t>
  </si>
  <si>
    <t>PKW</t>
  </si>
  <si>
    <t>Bahn</t>
  </si>
  <si>
    <t>Flug</t>
  </si>
  <si>
    <t>Konferenz-/Messehotel</t>
  </si>
  <si>
    <t>ÖPNV vor Ort</t>
  </si>
  <si>
    <t>p.P.</t>
  </si>
  <si>
    <t>p.P und Reise</t>
  </si>
  <si>
    <t>für alle Personen gesamt</t>
  </si>
  <si>
    <t>Reise-dauer in Tagen</t>
  </si>
  <si>
    <t>alle P.</t>
  </si>
  <si>
    <t>Hin- und zurück p. P.</t>
  </si>
  <si>
    <t>Hin- und zurück p.P.</t>
  </si>
  <si>
    <t>Reisestunden bei eintägiger Reise</t>
  </si>
  <si>
    <t>laut NRW LRKG</t>
  </si>
  <si>
    <t xml:space="preserve">für alle Personen </t>
  </si>
  <si>
    <t>ggf. separat begründen, bspw. Taxi</t>
  </si>
  <si>
    <t>Summe alle Reisekosten</t>
  </si>
  <si>
    <t>Reisestunden 1-Tag-Reise</t>
  </si>
  <si>
    <t>Land</t>
  </si>
  <si>
    <t>International / Reisen außerhalb D</t>
  </si>
  <si>
    <t>alle P., alle Nächte</t>
  </si>
  <si>
    <t>Pauschalsatz</t>
  </si>
  <si>
    <t>Eigene Rechnungen sind außerhalb des roten Feldes möglich</t>
  </si>
  <si>
    <t>Reisekostenhilfe als Tabelle formatiert</t>
  </si>
  <si>
    <t>t</t>
  </si>
  <si>
    <t>h</t>
  </si>
  <si>
    <t>Profs.</t>
  </si>
  <si>
    <t>p</t>
  </si>
  <si>
    <t>Prof-Name:</t>
  </si>
  <si>
    <t>ggf. Zulage</t>
  </si>
  <si>
    <t>--&gt;</t>
  </si>
  <si>
    <t>Prof.-Zeile hinzugefügt</t>
  </si>
  <si>
    <t>Neue WHK und SHK Sätze</t>
  </si>
  <si>
    <t>Stundensatz bis August 2022</t>
  </si>
  <si>
    <t>Stundensatz ab September 2022</t>
  </si>
  <si>
    <t>SV-Satz für über Mindestlohngrenze</t>
  </si>
  <si>
    <t>SV-Satz für unter Mindestlohngrenze</t>
  </si>
  <si>
    <t>Mindestlohn aktuell</t>
  </si>
  <si>
    <t>Mindestlohn vermutlich ab 1.10.2022</t>
  </si>
  <si>
    <t>Gültig bis 31.08.2022</t>
  </si>
  <si>
    <t>Gültig ab 01.09.2022</t>
  </si>
  <si>
    <t>Achtung! Wenn SHK-AN-Monatslohn über der Minijob-Grenze liegt, beträgt der Sozialabgabensatz 0 %. KV und RV muss Stud. selbst aufwenden.</t>
  </si>
  <si>
    <t>noch nicht eingepflegt, weil noch nicht feststehend</t>
  </si>
  <si>
    <t>Gruppierung</t>
  </si>
  <si>
    <t>Zeitraum</t>
  </si>
  <si>
    <t>Weihnachtsgeld / JSZ</t>
  </si>
  <si>
    <t>Vermögenswirksame Leistungen</t>
  </si>
  <si>
    <t>VBL Betriebl. Alterversorgung</t>
  </si>
  <si>
    <t>Weitere fixe Gehaltsbestandteile</t>
  </si>
  <si>
    <t>Stellenumfang</t>
  </si>
  <si>
    <t>Wochenstunden</t>
  </si>
  <si>
    <t>Jahresbruttogehalt</t>
  </si>
  <si>
    <t>nominelle Arbeitsstunden</t>
  </si>
  <si>
    <t>personengebundener Stundensatz</t>
  </si>
  <si>
    <t>norm. Personalkosten je PM</t>
  </si>
  <si>
    <t>Laufzeit in richtigen Kalendermonaten</t>
  </si>
  <si>
    <t>Personalmonate ZIM (max 10,5 pro Jahr)</t>
  </si>
  <si>
    <t>Kosten pro MA</t>
  </si>
  <si>
    <t>Personalkosten gesamt</t>
  </si>
  <si>
    <t>Zuschlag für übrige Kosten</t>
  </si>
  <si>
    <t>Kosten für Projektbezogene Aufträge an Dritte</t>
  </si>
  <si>
    <t>max.</t>
  </si>
  <si>
    <t>Summe PM (&lt; als PM der Unternehmenspartner)</t>
  </si>
  <si>
    <t>Zielwert:</t>
  </si>
  <si>
    <t>Name bekannt:</t>
  </si>
  <si>
    <t>MA</t>
  </si>
  <si>
    <t xml:space="preserve">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</si>
</sst>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00%"/>
    <numFmt numFmtId="166" formatCode="0.0"/>
    <numFmt numFmtId="167" formatCode="0.0%"/>
    <numFmt numFmtId="168" formatCode="_-* #,##0\ &quot;€&quot;_-;\-* #,##0\ &quot;€&quot;_-;_-* &quot;-&quot;??\ &quot;€&quot;_-;_-@_-"/>
    <numFmt numFmtId="169" formatCode="_-* #,##0.00\ [$€-407]_-;\-* #,##0.00\ [$€-407]_-;_-* &quot;-&quot;??\ [$€-407]_-;_-@_-"/>
    <numFmt numFmtId="170" formatCode="0.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ck">
        <color rgb="FFFF0000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5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1" fillId="0" borderId="1" xfId="0" applyFont="1" applyBorder="1"/>
    <xf numFmtId="10" fontId="0" fillId="0" borderId="1" xfId="0" applyNumberFormat="1" applyBorder="1"/>
    <xf numFmtId="0" fontId="0" fillId="0" borderId="5" xfId="0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164" fontId="1" fillId="0" borderId="0" xfId="0" applyNumberFormat="1" applyFont="1" applyFill="1" applyBorder="1"/>
    <xf numFmtId="0" fontId="1" fillId="0" borderId="14" xfId="0" applyFont="1" applyBorder="1"/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/>
    <xf numFmtId="0" fontId="1" fillId="0" borderId="18" xfId="0" applyFont="1" applyBorder="1"/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1" xfId="0" applyFont="1" applyBorder="1"/>
    <xf numFmtId="0" fontId="0" fillId="0" borderId="21" xfId="0" applyFont="1" applyBorder="1"/>
    <xf numFmtId="0" fontId="0" fillId="0" borderId="18" xfId="0" applyFont="1" applyBorder="1"/>
    <xf numFmtId="2" fontId="0" fillId="0" borderId="1" xfId="0" applyNumberFormat="1" applyBorder="1"/>
    <xf numFmtId="166" fontId="0" fillId="0" borderId="1" xfId="0" applyNumberFormat="1" applyBorder="1"/>
    <xf numFmtId="4" fontId="0" fillId="0" borderId="5" xfId="0" applyNumberFormat="1" applyBorder="1"/>
    <xf numFmtId="0" fontId="0" fillId="0" borderId="24" xfId="0" applyBorder="1"/>
    <xf numFmtId="2" fontId="0" fillId="0" borderId="24" xfId="0" applyNumberFormat="1" applyBorder="1"/>
    <xf numFmtId="0" fontId="6" fillId="0" borderId="0" xfId="0" applyFont="1"/>
    <xf numFmtId="164" fontId="0" fillId="0" borderId="0" xfId="0" applyNumberFormat="1" applyFill="1" applyBorder="1"/>
    <xf numFmtId="0" fontId="0" fillId="0" borderId="2" xfId="0" applyBorder="1" applyAlignment="1">
      <alignment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2" xfId="0" applyFill="1" applyBorder="1" applyAlignment="1">
      <alignment vertical="center" wrapText="1"/>
    </xf>
    <xf numFmtId="0" fontId="0" fillId="0" borderId="7" xfId="0" applyBorder="1"/>
    <xf numFmtId="164" fontId="0" fillId="0" borderId="2" xfId="0" applyNumberFormat="1" applyFill="1" applyBorder="1"/>
    <xf numFmtId="164" fontId="0" fillId="0" borderId="0" xfId="0" applyNumberFormat="1" applyBorder="1"/>
    <xf numFmtId="10" fontId="0" fillId="0" borderId="0" xfId="0" applyNumberFormat="1" applyBorder="1"/>
    <xf numFmtId="0" fontId="1" fillId="0" borderId="0" xfId="0" applyFont="1" applyFill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6" borderId="12" xfId="0" applyFont="1" applyFill="1" applyBorder="1"/>
    <xf numFmtId="0" fontId="0" fillId="6" borderId="7" xfId="0" applyFill="1" applyBorder="1"/>
    <xf numFmtId="0" fontId="0" fillId="6" borderId="13" xfId="0" applyFill="1" applyBorder="1"/>
    <xf numFmtId="0" fontId="0" fillId="0" borderId="25" xfId="0" applyBorder="1"/>
    <xf numFmtId="0" fontId="0" fillId="0" borderId="28" xfId="0" applyBorder="1"/>
    <xf numFmtId="0" fontId="0" fillId="0" borderId="17" xfId="0" applyBorder="1"/>
    <xf numFmtId="0" fontId="0" fillId="0" borderId="29" xfId="0" applyBorder="1"/>
    <xf numFmtId="0" fontId="0" fillId="0" borderId="17" xfId="0" applyFill="1" applyBorder="1"/>
    <xf numFmtId="0" fontId="0" fillId="0" borderId="30" xfId="0" applyFill="1" applyBorder="1"/>
    <xf numFmtId="0" fontId="0" fillId="0" borderId="18" xfId="0" applyFill="1" applyBorder="1"/>
    <xf numFmtId="0" fontId="0" fillId="0" borderId="31" xfId="0" applyBorder="1"/>
    <xf numFmtId="10" fontId="0" fillId="7" borderId="1" xfId="2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44" fontId="0" fillId="0" borderId="1" xfId="1" applyFont="1" applyBorder="1"/>
    <xf numFmtId="165" fontId="0" fillId="0" borderId="1" xfId="0" applyNumberFormat="1" applyBorder="1"/>
    <xf numFmtId="165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Fill="1" applyBorder="1" applyAlignment="1">
      <alignment horizontal="center" wrapText="1"/>
    </xf>
    <xf numFmtId="165" fontId="0" fillId="0" borderId="29" xfId="0" applyNumberFormat="1" applyBorder="1"/>
    <xf numFmtId="10" fontId="0" fillId="0" borderId="29" xfId="0" applyNumberFormat="1" applyBorder="1"/>
    <xf numFmtId="0" fontId="1" fillId="0" borderId="17" xfId="0" applyFont="1" applyFill="1" applyBorder="1"/>
    <xf numFmtId="44" fontId="0" fillId="0" borderId="0" xfId="1" applyFont="1" applyBorder="1"/>
    <xf numFmtId="0" fontId="0" fillId="0" borderId="32" xfId="0" applyBorder="1"/>
    <xf numFmtId="0" fontId="0" fillId="0" borderId="33" xfId="0" applyBorder="1"/>
    <xf numFmtId="167" fontId="1" fillId="0" borderId="0" xfId="2" applyNumberFormat="1" applyFont="1" applyBorder="1"/>
    <xf numFmtId="0" fontId="1" fillId="0" borderId="33" xfId="0" applyFont="1" applyBorder="1"/>
    <xf numFmtId="44" fontId="0" fillId="5" borderId="0" xfId="1" applyFont="1" applyFill="1" applyBorder="1"/>
    <xf numFmtId="10" fontId="0" fillId="5" borderId="0" xfId="2" applyNumberFormat="1" applyFont="1" applyFill="1" applyBorder="1"/>
    <xf numFmtId="0" fontId="1" fillId="0" borderId="34" xfId="0" applyFont="1" applyBorder="1"/>
    <xf numFmtId="0" fontId="1" fillId="0" borderId="4" xfId="0" applyFont="1" applyBorder="1"/>
    <xf numFmtId="44" fontId="0" fillId="5" borderId="4" xfId="1" applyFont="1" applyFill="1" applyBorder="1"/>
    <xf numFmtId="10" fontId="0" fillId="5" borderId="4" xfId="2" applyNumberFormat="1" applyFont="1" applyFill="1" applyBorder="1"/>
    <xf numFmtId="0" fontId="1" fillId="0" borderId="31" xfId="0" applyFont="1" applyBorder="1"/>
    <xf numFmtId="167" fontId="1" fillId="0" borderId="29" xfId="2" applyNumberFormat="1" applyFont="1" applyBorder="1"/>
    <xf numFmtId="44" fontId="0" fillId="5" borderId="33" xfId="1" applyFont="1" applyFill="1" applyBorder="1"/>
    <xf numFmtId="44" fontId="0" fillId="5" borderId="34" xfId="1" applyFont="1" applyFill="1" applyBorder="1"/>
    <xf numFmtId="0" fontId="1" fillId="0" borderId="32" xfId="0" applyFont="1" applyBorder="1"/>
    <xf numFmtId="0" fontId="1" fillId="0" borderId="25" xfId="0" applyFont="1" applyBorder="1"/>
    <xf numFmtId="44" fontId="0" fillId="5" borderId="32" xfId="1" applyFont="1" applyFill="1" applyBorder="1"/>
    <xf numFmtId="44" fontId="0" fillId="5" borderId="25" xfId="1" applyFont="1" applyFill="1" applyBorder="1"/>
    <xf numFmtId="10" fontId="0" fillId="5" borderId="25" xfId="2" applyNumberFormat="1" applyFont="1" applyFill="1" applyBorder="1"/>
    <xf numFmtId="0" fontId="0" fillId="0" borderId="34" xfId="0" applyBorder="1"/>
    <xf numFmtId="10" fontId="0" fillId="0" borderId="4" xfId="0" applyNumberFormat="1" applyBorder="1"/>
    <xf numFmtId="0" fontId="0" fillId="0" borderId="0" xfId="0" applyFont="1"/>
    <xf numFmtId="44" fontId="0" fillId="0" borderId="0" xfId="0" applyNumberFormat="1"/>
    <xf numFmtId="0" fontId="0" fillId="0" borderId="14" xfId="0" applyFont="1" applyFill="1" applyBorder="1" applyAlignment="1">
      <alignment horizontal="left" wrapText="1"/>
    </xf>
    <xf numFmtId="0" fontId="0" fillId="0" borderId="16" xfId="0" applyBorder="1"/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1" fontId="0" fillId="0" borderId="20" xfId="0" applyNumberFormat="1" applyFill="1" applyBorder="1"/>
    <xf numFmtId="49" fontId="0" fillId="0" borderId="17" xfId="0" applyNumberFormat="1" applyFont="1" applyBorder="1" applyAlignment="1">
      <alignment horizontal="left" wrapText="1"/>
    </xf>
    <xf numFmtId="0" fontId="0" fillId="0" borderId="20" xfId="0" applyFill="1" applyBorder="1"/>
    <xf numFmtId="0" fontId="0" fillId="0" borderId="1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9" fontId="0" fillId="0" borderId="28" xfId="0" applyNumberFormat="1" applyBorder="1"/>
    <xf numFmtId="44" fontId="0" fillId="0" borderId="25" xfId="1" applyFont="1" applyBorder="1"/>
    <xf numFmtId="44" fontId="0" fillId="0" borderId="0" xfId="1" applyFont="1" applyFill="1" applyBorder="1"/>
    <xf numFmtId="44" fontId="0" fillId="0" borderId="4" xfId="1" applyFont="1" applyFill="1" applyBorder="1"/>
    <xf numFmtId="44" fontId="0" fillId="0" borderId="4" xfId="1" applyFont="1" applyBorder="1"/>
    <xf numFmtId="0" fontId="2" fillId="0" borderId="0" xfId="0" applyFont="1" applyAlignment="1">
      <alignment vertical="top"/>
    </xf>
    <xf numFmtId="0" fontId="0" fillId="0" borderId="32" xfId="0" applyNumberFormat="1" applyBorder="1"/>
    <xf numFmtId="0" fontId="0" fillId="0" borderId="33" xfId="0" applyNumberFormat="1" applyBorder="1"/>
    <xf numFmtId="0" fontId="0" fillId="0" borderId="33" xfId="0" applyNumberFormat="1" applyFill="1" applyBorder="1"/>
    <xf numFmtId="0" fontId="0" fillId="0" borderId="34" xfId="0" applyNumberFormat="1" applyFill="1" applyBorder="1"/>
    <xf numFmtId="0" fontId="1" fillId="0" borderId="32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" fillId="0" borderId="33" xfId="0" applyFont="1" applyBorder="1" applyAlignment="1">
      <alignment vertical="top"/>
    </xf>
    <xf numFmtId="0" fontId="0" fillId="0" borderId="29" xfId="0" applyBorder="1" applyAlignment="1">
      <alignment vertical="top"/>
    </xf>
    <xf numFmtId="9" fontId="0" fillId="4" borderId="0" xfId="0" applyNumberForma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33" xfId="0" applyBorder="1" applyAlignment="1">
      <alignment vertical="top"/>
    </xf>
    <xf numFmtId="9" fontId="0" fillId="3" borderId="0" xfId="0" applyNumberFormat="1" applyFill="1" applyBorder="1" applyAlignment="1">
      <alignment vertical="top"/>
    </xf>
    <xf numFmtId="0" fontId="1" fillId="0" borderId="34" xfId="0" applyFont="1" applyBorder="1" applyAlignment="1">
      <alignment vertical="top"/>
    </xf>
    <xf numFmtId="0" fontId="0" fillId="0" borderId="4" xfId="0" applyBorder="1" applyAlignment="1">
      <alignment vertical="top"/>
    </xf>
    <xf numFmtId="44" fontId="0" fillId="3" borderId="4" xfId="1" applyFont="1" applyFill="1" applyBorder="1" applyAlignment="1">
      <alignment vertical="top"/>
    </xf>
    <xf numFmtId="0" fontId="0" fillId="0" borderId="31" xfId="0" applyBorder="1" applyAlignment="1">
      <alignment vertical="top"/>
    </xf>
    <xf numFmtId="0" fontId="11" fillId="0" borderId="32" xfId="0" applyFont="1" applyBorder="1" applyAlignment="1">
      <alignment vertical="top"/>
    </xf>
    <xf numFmtId="0" fontId="11" fillId="0" borderId="25" xfId="0" applyNumberFormat="1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1" fillId="2" borderId="33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44" fontId="1" fillId="2" borderId="0" xfId="1" applyFont="1" applyFill="1" applyBorder="1" applyAlignment="1">
      <alignment vertical="top"/>
    </xf>
    <xf numFmtId="44" fontId="7" fillId="2" borderId="0" xfId="1" applyFont="1" applyFill="1" applyBorder="1" applyAlignment="1">
      <alignment vertical="top"/>
    </xf>
    <xf numFmtId="44" fontId="4" fillId="0" borderId="29" xfId="1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39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35" xfId="0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0" fillId="0" borderId="41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44" fontId="0" fillId="0" borderId="9" xfId="0" applyNumberFormat="1" applyFill="1" applyBorder="1" applyAlignment="1">
      <alignment vertical="top"/>
    </xf>
    <xf numFmtId="44" fontId="0" fillId="0" borderId="44" xfId="0" applyNumberFormat="1" applyFill="1" applyBorder="1" applyAlignment="1">
      <alignment vertical="top"/>
    </xf>
    <xf numFmtId="0" fontId="0" fillId="0" borderId="32" xfId="0" applyFill="1" applyBorder="1"/>
    <xf numFmtId="164" fontId="0" fillId="0" borderId="25" xfId="0" applyNumberFormat="1" applyFill="1" applyBorder="1"/>
    <xf numFmtId="0" fontId="0" fillId="0" borderId="33" xfId="0" applyFill="1" applyBorder="1" applyAlignment="1"/>
    <xf numFmtId="0" fontId="0" fillId="0" borderId="34" xfId="0" applyFill="1" applyBorder="1" applyAlignment="1"/>
    <xf numFmtId="164" fontId="0" fillId="0" borderId="4" xfId="0" applyNumberFormat="1" applyFill="1" applyBorder="1"/>
    <xf numFmtId="0" fontId="1" fillId="2" borderId="12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6" borderId="2" xfId="0" applyFill="1" applyBorder="1" applyAlignment="1" applyProtection="1">
      <alignment horizontal="center"/>
      <protection locked="0"/>
    </xf>
    <xf numFmtId="0" fontId="5" fillId="2" borderId="22" xfId="0" applyFont="1" applyFill="1" applyBorder="1"/>
    <xf numFmtId="164" fontId="1" fillId="2" borderId="6" xfId="0" applyNumberFormat="1" applyFont="1" applyFill="1" applyBorder="1"/>
    <xf numFmtId="164" fontId="1" fillId="2" borderId="23" xfId="0" applyNumberFormat="1" applyFont="1" applyFill="1" applyBorder="1"/>
    <xf numFmtId="0" fontId="1" fillId="2" borderId="22" xfId="0" applyFont="1" applyFill="1" applyBorder="1"/>
    <xf numFmtId="9" fontId="0" fillId="0" borderId="45" xfId="0" applyNumberFormat="1" applyBorder="1" applyAlignment="1">
      <alignment vertical="center" wrapText="1"/>
    </xf>
    <xf numFmtId="10" fontId="0" fillId="0" borderId="45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vertical="center" wrapText="1"/>
    </xf>
    <xf numFmtId="10" fontId="0" fillId="0" borderId="0" xfId="0" applyNumberFormat="1" applyBorder="1" applyAlignment="1">
      <alignment vertical="center" wrapText="1"/>
    </xf>
    <xf numFmtId="10" fontId="0" fillId="0" borderId="0" xfId="2" applyNumberFormat="1" applyFont="1"/>
    <xf numFmtId="0" fontId="1" fillId="0" borderId="1" xfId="0" applyFont="1" applyFill="1" applyBorder="1" applyAlignment="1">
      <alignment horizontal="center" vertical="center" wrapText="1"/>
    </xf>
    <xf numFmtId="10" fontId="1" fillId="0" borderId="1" xfId="2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0" fontId="0" fillId="0" borderId="20" xfId="2" applyNumberFormat="1" applyFont="1" applyBorder="1"/>
    <xf numFmtId="0" fontId="1" fillId="0" borderId="49" xfId="0" applyFont="1" applyBorder="1" applyAlignment="1">
      <alignment horizontal="center" vertical="center" wrapText="1"/>
    </xf>
    <xf numFmtId="10" fontId="0" fillId="0" borderId="51" xfId="0" applyNumberFormat="1" applyBorder="1" applyAlignment="1">
      <alignment vertical="center" wrapText="1"/>
    </xf>
    <xf numFmtId="10" fontId="0" fillId="0" borderId="19" xfId="2" applyNumberFormat="1" applyFont="1" applyBorder="1"/>
    <xf numFmtId="0" fontId="1" fillId="0" borderId="5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0" fontId="1" fillId="0" borderId="47" xfId="2" applyNumberFormat="1" applyFont="1" applyBorder="1" applyAlignment="1">
      <alignment horizontal="center" vertical="center" wrapText="1"/>
    </xf>
    <xf numFmtId="10" fontId="1" fillId="0" borderId="54" xfId="2" applyNumberFormat="1" applyFont="1" applyBorder="1" applyAlignment="1">
      <alignment horizontal="center" vertical="center" wrapText="1"/>
    </xf>
    <xf numFmtId="10" fontId="1" fillId="0" borderId="43" xfId="2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58" xfId="0" applyBorder="1"/>
    <xf numFmtId="0" fontId="0" fillId="0" borderId="59" xfId="0" applyBorder="1"/>
    <xf numFmtId="0" fontId="0" fillId="0" borderId="61" xfId="0" applyBorder="1"/>
    <xf numFmtId="0" fontId="0" fillId="0" borderId="65" xfId="0" applyBorder="1"/>
    <xf numFmtId="44" fontId="0" fillId="0" borderId="0" xfId="0" applyNumberFormat="1" applyFill="1" applyBorder="1"/>
    <xf numFmtId="9" fontId="0" fillId="0" borderId="0" xfId="0" applyNumberFormat="1" applyFill="1" applyBorder="1"/>
    <xf numFmtId="0" fontId="0" fillId="0" borderId="67" xfId="0" applyBorder="1"/>
    <xf numFmtId="0" fontId="0" fillId="0" borderId="68" xfId="0" applyBorder="1"/>
    <xf numFmtId="0" fontId="0" fillId="0" borderId="70" xfId="0" applyBorder="1"/>
    <xf numFmtId="0" fontId="0" fillId="0" borderId="9" xfId="0" applyBorder="1"/>
    <xf numFmtId="0" fontId="0" fillId="0" borderId="71" xfId="0" applyBorder="1"/>
    <xf numFmtId="44" fontId="0" fillId="4" borderId="63" xfId="1" applyFont="1" applyFill="1" applyBorder="1"/>
    <xf numFmtId="44" fontId="0" fillId="4" borderId="63" xfId="0" applyNumberFormat="1" applyFill="1" applyBorder="1"/>
    <xf numFmtId="44" fontId="1" fillId="4" borderId="1" xfId="0" applyNumberFormat="1" applyFont="1" applyFill="1" applyBorder="1"/>
    <xf numFmtId="44" fontId="1" fillId="4" borderId="66" xfId="1" applyFont="1" applyFill="1" applyBorder="1"/>
    <xf numFmtId="44" fontId="0" fillId="4" borderId="66" xfId="0" applyNumberFormat="1" applyFill="1" applyBorder="1"/>
    <xf numFmtId="44" fontId="1" fillId="4" borderId="66" xfId="0" applyNumberFormat="1" applyFont="1" applyFill="1" applyBorder="1"/>
    <xf numFmtId="44" fontId="0" fillId="4" borderId="1" xfId="0" applyNumberFormat="1" applyFill="1" applyBorder="1"/>
    <xf numFmtId="44" fontId="0" fillId="4" borderId="10" xfId="0" applyNumberFormat="1" applyFill="1" applyBorder="1"/>
    <xf numFmtId="0" fontId="0" fillId="4" borderId="1" xfId="0" applyNumberFormat="1" applyFill="1" applyBorder="1"/>
    <xf numFmtId="167" fontId="0" fillId="0" borderId="0" xfId="2" applyNumberFormat="1" applyFont="1"/>
    <xf numFmtId="10" fontId="0" fillId="0" borderId="0" xfId="0" applyNumberFormat="1" applyFill="1" applyBorder="1"/>
    <xf numFmtId="9" fontId="7" fillId="4" borderId="1" xfId="2" applyFont="1" applyFill="1" applyBorder="1"/>
    <xf numFmtId="9" fontId="7" fillId="4" borderId="10" xfId="0" applyNumberFormat="1" applyFont="1" applyFill="1" applyBorder="1"/>
    <xf numFmtId="9" fontId="7" fillId="4" borderId="66" xfId="0" applyNumberFormat="1" applyFont="1" applyFill="1" applyBorder="1"/>
    <xf numFmtId="0" fontId="0" fillId="0" borderId="74" xfId="0" applyBorder="1"/>
    <xf numFmtId="44" fontId="1" fillId="0" borderId="0" xfId="0" applyNumberFormat="1" applyFont="1" applyFill="1" applyBorder="1"/>
    <xf numFmtId="44" fontId="1" fillId="0" borderId="0" xfId="1" applyFont="1" applyFill="1" applyBorder="1"/>
    <xf numFmtId="0" fontId="0" fillId="0" borderId="68" xfId="0" applyFill="1" applyBorder="1"/>
    <xf numFmtId="0" fontId="0" fillId="4" borderId="10" xfId="0" applyFill="1" applyBorder="1"/>
    <xf numFmtId="0" fontId="0" fillId="4" borderId="15" xfId="0" applyFill="1" applyBorder="1"/>
    <xf numFmtId="44" fontId="0" fillId="4" borderId="75" xfId="0" applyNumberFormat="1" applyFill="1" applyBorder="1"/>
    <xf numFmtId="44" fontId="1" fillId="4" borderId="5" xfId="0" applyNumberFormat="1" applyFont="1" applyFill="1" applyBorder="1"/>
    <xf numFmtId="44" fontId="1" fillId="0" borderId="4" xfId="0" applyNumberFormat="1" applyFont="1" applyFill="1" applyBorder="1"/>
    <xf numFmtId="44" fontId="1" fillId="0" borderId="31" xfId="0" applyNumberFormat="1" applyFont="1" applyFill="1" applyBorder="1"/>
    <xf numFmtId="0" fontId="0" fillId="0" borderId="77" xfId="0" applyBorder="1"/>
    <xf numFmtId="0" fontId="0" fillId="4" borderId="16" xfId="0" applyFill="1" applyBorder="1"/>
    <xf numFmtId="0" fontId="0" fillId="0" borderId="29" xfId="0" applyFill="1" applyBorder="1"/>
    <xf numFmtId="44" fontId="1" fillId="0" borderId="77" xfId="0" applyNumberFormat="1" applyFont="1" applyFill="1" applyBorder="1"/>
    <xf numFmtId="0" fontId="0" fillId="0" borderId="30" xfId="0" applyBorder="1"/>
    <xf numFmtId="0" fontId="0" fillId="0" borderId="26" xfId="0" applyBorder="1"/>
    <xf numFmtId="0" fontId="1" fillId="0" borderId="15" xfId="0" applyFont="1" applyBorder="1"/>
    <xf numFmtId="0" fontId="0" fillId="0" borderId="36" xfId="0" applyFill="1" applyBorder="1"/>
    <xf numFmtId="0" fontId="0" fillId="0" borderId="37" xfId="0" applyFill="1" applyBorder="1"/>
    <xf numFmtId="0" fontId="0" fillId="4" borderId="43" xfId="0" applyFill="1" applyBorder="1"/>
    <xf numFmtId="0" fontId="0" fillId="0" borderId="12" xfId="0" applyBorder="1"/>
    <xf numFmtId="0" fontId="0" fillId="0" borderId="78" xfId="0" applyBorder="1"/>
    <xf numFmtId="0" fontId="0" fillId="4" borderId="6" xfId="0" applyFill="1" applyBorder="1"/>
    <xf numFmtId="0" fontId="1" fillId="0" borderId="7" xfId="0" applyFont="1" applyBorder="1"/>
    <xf numFmtId="0" fontId="1" fillId="0" borderId="13" xfId="0" applyFont="1" applyBorder="1"/>
    <xf numFmtId="9" fontId="0" fillId="4" borderId="1" xfId="2" applyFont="1" applyFill="1" applyBorder="1"/>
    <xf numFmtId="0" fontId="13" fillId="0" borderId="0" xfId="0" applyFont="1" applyBorder="1"/>
    <xf numFmtId="0" fontId="13" fillId="0" borderId="17" xfId="0" applyFont="1" applyBorder="1"/>
    <xf numFmtId="0" fontId="13" fillId="0" borderId="1" xfId="0" applyFont="1" applyBorder="1"/>
    <xf numFmtId="0" fontId="13" fillId="0" borderId="18" xfId="0" applyFont="1" applyBorder="1"/>
    <xf numFmtId="0" fontId="13" fillId="0" borderId="5" xfId="0" applyFont="1" applyBorder="1"/>
    <xf numFmtId="0" fontId="13" fillId="0" borderId="33" xfId="0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9" fontId="0" fillId="0" borderId="13" xfId="0" applyNumberFormat="1" applyBorder="1"/>
    <xf numFmtId="44" fontId="1" fillId="4" borderId="80" xfId="0" applyNumberFormat="1" applyFont="1" applyFill="1" applyBorder="1"/>
    <xf numFmtId="44" fontId="0" fillId="4" borderId="1" xfId="1" applyFont="1" applyFill="1" applyBorder="1"/>
    <xf numFmtId="0" fontId="13" fillId="0" borderId="72" xfId="0" applyFont="1" applyBorder="1" applyAlignment="1">
      <alignment vertical="top"/>
    </xf>
    <xf numFmtId="0" fontId="13" fillId="0" borderId="81" xfId="0" applyFont="1" applyBorder="1" applyAlignment="1">
      <alignment vertical="top"/>
    </xf>
    <xf numFmtId="44" fontId="0" fillId="4" borderId="0" xfId="0" applyNumberFormat="1" applyFill="1"/>
    <xf numFmtId="44" fontId="1" fillId="0" borderId="29" xfId="0" applyNumberFormat="1" applyFont="1" applyFill="1" applyBorder="1"/>
    <xf numFmtId="169" fontId="0" fillId="5" borderId="63" xfId="0" applyNumberFormat="1" applyFill="1" applyBorder="1"/>
    <xf numFmtId="0" fontId="0" fillId="0" borderId="42" xfId="0" applyBorder="1"/>
    <xf numFmtId="0" fontId="13" fillId="0" borderId="34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16" fontId="17" fillId="4" borderId="20" xfId="0" applyNumberFormat="1" applyFont="1" applyFill="1" applyBorder="1"/>
    <xf numFmtId="0" fontId="0" fillId="4" borderId="1" xfId="0" applyFill="1" applyBorder="1"/>
    <xf numFmtId="44" fontId="18" fillId="0" borderId="0" xfId="0" applyNumberFormat="1" applyFont="1" applyFill="1" applyBorder="1"/>
    <xf numFmtId="0" fontId="0" fillId="0" borderId="59" xfId="0" applyFill="1" applyBorder="1"/>
    <xf numFmtId="44" fontId="18" fillId="0" borderId="68" xfId="0" applyNumberFormat="1" applyFont="1" applyFill="1" applyBorder="1"/>
    <xf numFmtId="10" fontId="16" fillId="0" borderId="68" xfId="0" applyNumberFormat="1" applyFont="1" applyFill="1" applyBorder="1"/>
    <xf numFmtId="44" fontId="1" fillId="4" borderId="86" xfId="0" applyNumberFormat="1" applyFont="1" applyFill="1" applyBorder="1"/>
    <xf numFmtId="44" fontId="0" fillId="4" borderId="85" xfId="0" applyNumberFormat="1" applyFont="1" applyFill="1" applyBorder="1"/>
    <xf numFmtId="2" fontId="0" fillId="4" borderId="66" xfId="0" applyNumberFormat="1" applyFont="1" applyFill="1" applyBorder="1"/>
    <xf numFmtId="10" fontId="16" fillId="0" borderId="0" xfId="0" applyNumberFormat="1" applyFont="1" applyFill="1" applyBorder="1"/>
    <xf numFmtId="44" fontId="0" fillId="4" borderId="83" xfId="0" applyNumberFormat="1" applyFill="1" applyBorder="1"/>
    <xf numFmtId="44" fontId="1" fillId="4" borderId="24" xfId="0" applyNumberFormat="1" applyFont="1" applyFill="1" applyBorder="1"/>
    <xf numFmtId="44" fontId="0" fillId="4" borderId="66" xfId="0" applyNumberFormat="1" applyFont="1" applyFill="1" applyBorder="1"/>
    <xf numFmtId="0" fontId="0" fillId="0" borderId="88" xfId="0" applyBorder="1"/>
    <xf numFmtId="0" fontId="1" fillId="0" borderId="87" xfId="0" applyFont="1" applyBorder="1"/>
    <xf numFmtId="0" fontId="1" fillId="0" borderId="89" xfId="0" applyFont="1" applyBorder="1"/>
    <xf numFmtId="10" fontId="0" fillId="4" borderId="11" xfId="0" applyNumberFormat="1" applyFill="1" applyBorder="1"/>
    <xf numFmtId="0" fontId="0" fillId="8" borderId="24" xfId="0" applyFill="1" applyBorder="1"/>
    <xf numFmtId="44" fontId="0" fillId="4" borderId="24" xfId="1" applyFont="1" applyFill="1" applyBorder="1" applyAlignment="1"/>
    <xf numFmtId="0" fontId="0" fillId="4" borderId="24" xfId="0" applyFill="1" applyBorder="1"/>
    <xf numFmtId="0" fontId="0" fillId="0" borderId="90" xfId="0" applyFont="1" applyBorder="1" applyAlignment="1">
      <alignment horizontal="left"/>
    </xf>
    <xf numFmtId="0" fontId="0" fillId="0" borderId="91" xfId="0" applyBorder="1"/>
    <xf numFmtId="0" fontId="0" fillId="0" borderId="80" xfId="0" applyBorder="1"/>
    <xf numFmtId="0" fontId="0" fillId="0" borderId="92" xfId="0" applyBorder="1"/>
    <xf numFmtId="0" fontId="0" fillId="0" borderId="93" xfId="0" applyBorder="1"/>
    <xf numFmtId="0" fontId="1" fillId="0" borderId="93" xfId="0" applyFont="1" applyBorder="1"/>
    <xf numFmtId="0" fontId="13" fillId="0" borderId="0" xfId="0" applyFont="1"/>
    <xf numFmtId="44" fontId="0" fillId="4" borderId="66" xfId="1" applyFont="1" applyFill="1" applyBorder="1" applyAlignment="1"/>
    <xf numFmtId="0" fontId="0" fillId="0" borderId="69" xfId="0" applyBorder="1" applyProtection="1"/>
    <xf numFmtId="0" fontId="0" fillId="0" borderId="68" xfId="0" applyBorder="1" applyProtection="1"/>
    <xf numFmtId="0" fontId="0" fillId="0" borderId="62" xfId="0" applyBorder="1" applyProtection="1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0" borderId="60" xfId="0" applyBorder="1" applyProtection="1"/>
    <xf numFmtId="0" fontId="1" fillId="0" borderId="59" xfId="0" applyFont="1" applyBorder="1" applyProtection="1"/>
    <xf numFmtId="0" fontId="1" fillId="0" borderId="0" xfId="0" applyFont="1" applyFill="1" applyBorder="1" applyProtection="1"/>
    <xf numFmtId="0" fontId="13" fillId="0" borderId="0" xfId="0" applyFont="1" applyProtection="1"/>
    <xf numFmtId="0" fontId="0" fillId="0" borderId="59" xfId="0" applyBorder="1" applyProtection="1"/>
    <xf numFmtId="0" fontId="0" fillId="8" borderId="1" xfId="0" applyFill="1" applyBorder="1" applyProtection="1">
      <protection locked="0"/>
    </xf>
    <xf numFmtId="14" fontId="0" fillId="8" borderId="1" xfId="0" applyNumberFormat="1" applyFill="1" applyBorder="1" applyProtection="1">
      <protection locked="0"/>
    </xf>
    <xf numFmtId="16" fontId="1" fillId="8" borderId="32" xfId="0" applyNumberFormat="1" applyFont="1" applyFill="1" applyBorder="1" applyProtection="1">
      <protection locked="0"/>
    </xf>
    <xf numFmtId="0" fontId="1" fillId="8" borderId="82" xfId="0" applyNumberFormat="1" applyFont="1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16" fillId="8" borderId="1" xfId="0" applyFont="1" applyFill="1" applyBorder="1" applyProtection="1">
      <protection locked="0"/>
    </xf>
    <xf numFmtId="0" fontId="0" fillId="8" borderId="73" xfId="0" applyFill="1" applyBorder="1" applyProtection="1">
      <protection locked="0"/>
    </xf>
    <xf numFmtId="0" fontId="0" fillId="8" borderId="10" xfId="0" applyFill="1" applyBorder="1" applyProtection="1">
      <protection locked="0"/>
    </xf>
    <xf numFmtId="10" fontId="0" fillId="8" borderId="20" xfId="0" applyNumberFormat="1" applyFill="1" applyBorder="1" applyProtection="1">
      <protection locked="0"/>
    </xf>
    <xf numFmtId="16" fontId="1" fillId="8" borderId="14" xfId="0" applyNumberFormat="1" applyFont="1" applyFill="1" applyBorder="1" applyProtection="1">
      <protection locked="0"/>
    </xf>
    <xf numFmtId="0" fontId="0" fillId="8" borderId="76" xfId="0" applyFill="1" applyBorder="1" applyProtection="1">
      <protection locked="0"/>
    </xf>
    <xf numFmtId="0" fontId="0" fillId="8" borderId="15" xfId="0" applyFill="1" applyBorder="1" applyProtection="1">
      <protection locked="0"/>
    </xf>
    <xf numFmtId="16" fontId="1" fillId="8" borderId="41" xfId="0" applyNumberFormat="1" applyFont="1" applyFill="1" applyBorder="1" applyProtection="1">
      <protection locked="0"/>
    </xf>
    <xf numFmtId="44" fontId="0" fillId="8" borderId="1" xfId="1" applyFont="1" applyFill="1" applyBorder="1" applyProtection="1">
      <protection locked="0"/>
    </xf>
    <xf numFmtId="168" fontId="0" fillId="8" borderId="79" xfId="1" applyNumberFormat="1" applyFont="1" applyFill="1" applyBorder="1" applyProtection="1">
      <protection locked="0"/>
    </xf>
    <xf numFmtId="0" fontId="0" fillId="5" borderId="24" xfId="0" applyFill="1" applyBorder="1" applyProtection="1">
      <protection locked="0"/>
    </xf>
    <xf numFmtId="9" fontId="0" fillId="5" borderId="6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9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0" fillId="5" borderId="24" xfId="0" applyFill="1" applyBorder="1" applyAlignment="1">
      <alignment horizontal="left"/>
    </xf>
    <xf numFmtId="10" fontId="0" fillId="9" borderId="25" xfId="2" applyNumberFormat="1" applyFont="1" applyFill="1" applyBorder="1"/>
    <xf numFmtId="10" fontId="0" fillId="9" borderId="0" xfId="2" applyNumberFormat="1" applyFont="1" applyFill="1" applyBorder="1"/>
    <xf numFmtId="0" fontId="12" fillId="8" borderId="1" xfId="0" applyFont="1" applyFill="1" applyBorder="1" applyAlignment="1" applyProtection="1">
      <protection locked="0"/>
    </xf>
    <xf numFmtId="44" fontId="16" fillId="0" borderId="0" xfId="0" applyNumberFormat="1" applyFont="1" applyFill="1" applyBorder="1"/>
    <xf numFmtId="44" fontId="16" fillId="0" borderId="68" xfId="0" applyNumberFormat="1" applyFont="1" applyFill="1" applyBorder="1"/>
    <xf numFmtId="44" fontId="16" fillId="0" borderId="98" xfId="0" applyNumberFormat="1" applyFont="1" applyFill="1" applyBorder="1"/>
    <xf numFmtId="0" fontId="0" fillId="4" borderId="99" xfId="0" applyNumberFormat="1" applyFont="1" applyFill="1" applyBorder="1"/>
    <xf numFmtId="0" fontId="1" fillId="0" borderId="100" xfId="0" applyFont="1" applyBorder="1"/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64" fontId="0" fillId="4" borderId="28" xfId="0" applyNumberFormat="1" applyFill="1" applyBorder="1"/>
    <xf numFmtId="164" fontId="0" fillId="4" borderId="29" xfId="0" applyNumberFormat="1" applyFill="1" applyBorder="1"/>
    <xf numFmtId="0" fontId="0" fillId="4" borderId="19" xfId="0" applyFill="1" applyBorder="1"/>
    <xf numFmtId="165" fontId="1" fillId="4" borderId="1" xfId="0" applyNumberFormat="1" applyFont="1" applyFill="1" applyBorder="1"/>
    <xf numFmtId="10" fontId="0" fillId="4" borderId="1" xfId="2" applyNumberFormat="1" applyFont="1" applyFill="1" applyBorder="1"/>
    <xf numFmtId="44" fontId="0" fillId="0" borderId="0" xfId="0" applyNumberFormat="1" applyFont="1" applyFill="1" applyBorder="1"/>
    <xf numFmtId="0" fontId="0" fillId="0" borderId="0" xfId="0" applyFont="1" applyBorder="1" applyProtection="1"/>
    <xf numFmtId="44" fontId="0" fillId="4" borderId="29" xfId="1" applyNumberFormat="1" applyFont="1" applyFill="1" applyBorder="1"/>
    <xf numFmtId="44" fontId="0" fillId="4" borderId="31" xfId="1" applyNumberFormat="1" applyFont="1" applyFill="1" applyBorder="1"/>
    <xf numFmtId="9" fontId="0" fillId="0" borderId="0" xfId="0" applyNumberFormat="1" applyFill="1" applyBorder="1" applyProtection="1">
      <protection locked="0"/>
    </xf>
    <xf numFmtId="168" fontId="0" fillId="0" borderId="59" xfId="1" applyNumberFormat="1" applyFont="1" applyFill="1" applyBorder="1" applyProtection="1">
      <protection locked="0"/>
    </xf>
    <xf numFmtId="0" fontId="0" fillId="0" borderId="0" xfId="0" applyFont="1" applyFill="1" applyBorder="1" applyAlignment="1"/>
    <xf numFmtId="0" fontId="1" fillId="10" borderId="0" xfId="0" applyFont="1" applyFill="1" applyBorder="1" applyProtection="1"/>
    <xf numFmtId="0" fontId="0" fillId="10" borderId="0" xfId="0" applyFill="1" applyBorder="1"/>
    <xf numFmtId="0" fontId="1" fillId="10" borderId="68" xfId="0" applyFont="1" applyFill="1" applyBorder="1" applyProtection="1"/>
    <xf numFmtId="9" fontId="7" fillId="4" borderId="1" xfId="0" applyNumberFormat="1" applyFont="1" applyFill="1" applyBorder="1"/>
    <xf numFmtId="44" fontId="0" fillId="0" borderId="0" xfId="0" applyNumberFormat="1" applyFont="1" applyFill="1" applyBorder="1" applyAlignment="1"/>
    <xf numFmtId="2" fontId="0" fillId="0" borderId="0" xfId="0" applyNumberFormat="1" applyFont="1" applyFill="1" applyBorder="1"/>
    <xf numFmtId="0" fontId="1" fillId="0" borderId="68" xfId="0" applyFont="1" applyFill="1" applyBorder="1" applyProtection="1"/>
    <xf numFmtId="0" fontId="0" fillId="0" borderId="33" xfId="0" applyFill="1" applyBorder="1"/>
    <xf numFmtId="44" fontId="0" fillId="4" borderId="66" xfId="0" applyNumberFormat="1" applyFill="1" applyBorder="1" applyProtection="1"/>
    <xf numFmtId="0" fontId="0" fillId="0" borderId="68" xfId="0" applyFill="1" applyBorder="1" applyProtection="1"/>
    <xf numFmtId="10" fontId="16" fillId="0" borderId="68" xfId="0" applyNumberFormat="1" applyFont="1" applyFill="1" applyBorder="1" applyProtection="1"/>
    <xf numFmtId="44" fontId="16" fillId="0" borderId="68" xfId="0" applyNumberFormat="1" applyFont="1" applyFill="1" applyBorder="1" applyProtection="1"/>
    <xf numFmtId="0" fontId="0" fillId="0" borderId="67" xfId="0" applyBorder="1" applyProtection="1"/>
    <xf numFmtId="0" fontId="0" fillId="0" borderId="61" xfId="0" applyBorder="1" applyProtection="1"/>
    <xf numFmtId="0" fontId="0" fillId="0" borderId="58" xfId="0" applyBorder="1" applyProtection="1"/>
    <xf numFmtId="0" fontId="0" fillId="10" borderId="68" xfId="0" applyFill="1" applyBorder="1" applyProtection="1"/>
    <xf numFmtId="10" fontId="16" fillId="0" borderId="0" xfId="0" applyNumberFormat="1" applyFont="1" applyFill="1" applyBorder="1" applyProtection="1"/>
    <xf numFmtId="44" fontId="16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4" borderId="1" xfId="0" applyNumberFormat="1" applyFont="1" applyFill="1" applyBorder="1" applyAlignment="1" applyProtection="1">
      <alignment horizontal="right"/>
    </xf>
    <xf numFmtId="44" fontId="18" fillId="0" borderId="0" xfId="0" applyNumberFormat="1" applyFont="1" applyFill="1" applyBorder="1" applyProtection="1"/>
    <xf numFmtId="0" fontId="19" fillId="0" borderId="0" xfId="0" applyFont="1" applyFill="1" applyBorder="1" applyAlignment="1" applyProtection="1">
      <alignment horizontal="right"/>
    </xf>
    <xf numFmtId="0" fontId="19" fillId="0" borderId="0" xfId="1" applyNumberFormat="1" applyFont="1" applyFill="1" applyBorder="1" applyAlignment="1" applyProtection="1">
      <alignment horizontal="center"/>
    </xf>
    <xf numFmtId="10" fontId="0" fillId="0" borderId="0" xfId="0" applyNumberFormat="1" applyFont="1" applyFill="1" applyBorder="1" applyProtection="1"/>
    <xf numFmtId="44" fontId="0" fillId="4" borderId="1" xfId="1" applyFont="1" applyFill="1" applyBorder="1" applyAlignment="1" applyProtection="1">
      <alignment horizontal="center"/>
    </xf>
    <xf numFmtId="44" fontId="0" fillId="0" borderId="0" xfId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10" fontId="0" fillId="4" borderId="1" xfId="0" applyNumberFormat="1" applyFont="1" applyFill="1" applyBorder="1" applyProtection="1"/>
    <xf numFmtId="0" fontId="0" fillId="0" borderId="0" xfId="0" applyFill="1" applyBorder="1" applyProtection="1"/>
    <xf numFmtId="44" fontId="1" fillId="4" borderId="1" xfId="0" applyNumberFormat="1" applyFont="1" applyFill="1" applyBorder="1" applyAlignment="1" applyProtection="1"/>
    <xf numFmtId="44" fontId="0" fillId="0" borderId="0" xfId="0" applyNumberFormat="1" applyFill="1" applyBorder="1" applyProtection="1"/>
    <xf numFmtId="44" fontId="10" fillId="0" borderId="61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horizontal="left"/>
    </xf>
    <xf numFmtId="44" fontId="10" fillId="0" borderId="0" xfId="0" applyNumberFormat="1" applyFont="1" applyFill="1" applyBorder="1" applyProtection="1"/>
    <xf numFmtId="0" fontId="0" fillId="0" borderId="61" xfId="0" applyFill="1" applyBorder="1" applyProtection="1"/>
    <xf numFmtId="44" fontId="1" fillId="4" borderId="1" xfId="0" applyNumberFormat="1" applyFont="1" applyFill="1" applyBorder="1" applyProtection="1"/>
    <xf numFmtId="44" fontId="1" fillId="4" borderId="66" xfId="1" applyFont="1" applyFill="1" applyBorder="1" applyProtection="1"/>
    <xf numFmtId="44" fontId="0" fillId="4" borderId="97" xfId="0" applyNumberFormat="1" applyFill="1" applyBorder="1" applyProtection="1"/>
    <xf numFmtId="164" fontId="0" fillId="4" borderId="36" xfId="0" applyNumberFormat="1" applyFill="1" applyBorder="1"/>
    <xf numFmtId="164" fontId="0" fillId="4" borderId="37" xfId="0" applyNumberFormat="1" applyFill="1" applyBorder="1"/>
    <xf numFmtId="164" fontId="0" fillId="4" borderId="38" xfId="0" applyNumberFormat="1" applyFill="1" applyBorder="1"/>
    <xf numFmtId="0" fontId="0" fillId="0" borderId="0" xfId="0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44" fontId="19" fillId="0" borderId="0" xfId="1" applyFont="1" applyFill="1" applyBorder="1" applyAlignment="1" applyProtection="1">
      <alignment horizontal="center"/>
    </xf>
    <xf numFmtId="0" fontId="19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0" fontId="20" fillId="0" borderId="0" xfId="1" applyNumberFormat="1" applyFont="1" applyFill="1" applyBorder="1" applyAlignment="1" applyProtection="1">
      <alignment horizontal="center"/>
    </xf>
    <xf numFmtId="0" fontId="0" fillId="0" borderId="38" xfId="0" applyFill="1" applyBorder="1"/>
    <xf numFmtId="0" fontId="8" fillId="0" borderId="0" xfId="0" applyFont="1" applyBorder="1"/>
    <xf numFmtId="0" fontId="21" fillId="0" borderId="0" xfId="0" applyFont="1"/>
    <xf numFmtId="0" fontId="0" fillId="0" borderId="0" xfId="0" applyFont="1" applyFill="1" applyBorder="1" applyProtection="1"/>
    <xf numFmtId="44" fontId="0" fillId="0" borderId="0" xfId="1" applyFont="1"/>
    <xf numFmtId="44" fontId="0" fillId="4" borderId="25" xfId="1" applyFont="1" applyFill="1" applyBorder="1"/>
    <xf numFmtId="44" fontId="0" fillId="4" borderId="28" xfId="1" applyFont="1" applyFill="1" applyBorder="1"/>
    <xf numFmtId="44" fontId="0" fillId="4" borderId="0" xfId="1" applyFont="1" applyFill="1" applyBorder="1"/>
    <xf numFmtId="44" fontId="0" fillId="4" borderId="29" xfId="1" applyFont="1" applyFill="1" applyBorder="1"/>
    <xf numFmtId="44" fontId="0" fillId="4" borderId="4" xfId="1" applyFont="1" applyFill="1" applyBorder="1"/>
    <xf numFmtId="44" fontId="0" fillId="4" borderId="31" xfId="1" applyFont="1" applyFill="1" applyBorder="1"/>
    <xf numFmtId="44" fontId="0" fillId="4" borderId="32" xfId="1" applyFont="1" applyFill="1" applyBorder="1"/>
    <xf numFmtId="44" fontId="0" fillId="4" borderId="33" xfId="1" applyFont="1" applyFill="1" applyBorder="1"/>
    <xf numFmtId="44" fontId="0" fillId="4" borderId="34" xfId="1" applyFont="1" applyFill="1" applyBorder="1"/>
    <xf numFmtId="167" fontId="0" fillId="4" borderId="92" xfId="2" applyNumberFormat="1" applyFont="1" applyFill="1" applyBorder="1"/>
    <xf numFmtId="167" fontId="0" fillId="4" borderId="93" xfId="2" applyNumberFormat="1" applyFont="1" applyFill="1" applyBorder="1"/>
    <xf numFmtId="167" fontId="0" fillId="4" borderId="94" xfId="2" applyNumberFormat="1" applyFont="1" applyFill="1" applyBorder="1"/>
    <xf numFmtId="44" fontId="0" fillId="5" borderId="1" xfId="1" applyFont="1" applyFill="1" applyBorder="1"/>
    <xf numFmtId="10" fontId="1" fillId="0" borderId="1" xfId="0" applyNumberFormat="1" applyFont="1" applyBorder="1"/>
    <xf numFmtId="0" fontId="0" fillId="0" borderId="18" xfId="0" applyBorder="1"/>
    <xf numFmtId="10" fontId="1" fillId="0" borderId="20" xfId="0" applyNumberFormat="1" applyFont="1" applyBorder="1"/>
    <xf numFmtId="0" fontId="1" fillId="0" borderId="20" xfId="0" applyFont="1" applyBorder="1"/>
    <xf numFmtId="44" fontId="0" fillId="4" borderId="20" xfId="1" applyFont="1" applyFill="1" applyBorder="1"/>
    <xf numFmtId="44" fontId="0" fillId="5" borderId="5" xfId="1" applyFont="1" applyFill="1" applyBorder="1"/>
    <xf numFmtId="44" fontId="0" fillId="4" borderId="5" xfId="1" applyFont="1" applyFill="1" applyBorder="1"/>
    <xf numFmtId="44" fontId="0" fillId="4" borderId="19" xfId="1" applyFont="1" applyFill="1" applyBorder="1"/>
    <xf numFmtId="0" fontId="0" fillId="0" borderId="103" xfId="0" applyBorder="1"/>
    <xf numFmtId="0" fontId="0" fillId="0" borderId="104" xfId="0" applyBorder="1"/>
    <xf numFmtId="0" fontId="0" fillId="0" borderId="105" xfId="0" applyBorder="1"/>
    <xf numFmtId="0" fontId="0" fillId="0" borderId="106" xfId="0" applyBorder="1"/>
    <xf numFmtId="0" fontId="1" fillId="0" borderId="15" xfId="0" applyFont="1" applyFill="1" applyBorder="1"/>
    <xf numFmtId="0" fontId="1" fillId="0" borderId="16" xfId="0" applyFont="1" applyBorder="1"/>
    <xf numFmtId="0" fontId="0" fillId="8" borderId="18" xfId="0" applyFill="1" applyBorder="1" applyAlignment="1" applyProtection="1">
      <alignment vertic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44" fontId="0" fillId="4" borderId="5" xfId="1" applyFont="1" applyFill="1" applyBorder="1" applyAlignment="1">
      <alignment vertical="center"/>
    </xf>
    <xf numFmtId="44" fontId="0" fillId="8" borderId="5" xfId="1" applyFont="1" applyFill="1" applyBorder="1" applyAlignment="1" applyProtection="1">
      <alignment vertical="center"/>
      <protection locked="0"/>
    </xf>
    <xf numFmtId="0" fontId="0" fillId="11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/>
    <xf numFmtId="0" fontId="0" fillId="0" borderId="77" xfId="0" applyFill="1" applyBorder="1"/>
    <xf numFmtId="0" fontId="0" fillId="0" borderId="0" xfId="0" applyFill="1"/>
    <xf numFmtId="0" fontId="0" fillId="0" borderId="0" xfId="0" applyFill="1" applyBorder="1" applyAlignment="1" applyProtection="1">
      <alignment horizontal="left"/>
      <protection locked="0"/>
    </xf>
    <xf numFmtId="0" fontId="0" fillId="0" borderId="107" xfId="0" applyFill="1" applyBorder="1"/>
    <xf numFmtId="0" fontId="0" fillId="0" borderId="25" xfId="0" applyFill="1" applyBorder="1"/>
    <xf numFmtId="44" fontId="1" fillId="0" borderId="107" xfId="0" applyNumberFormat="1" applyFont="1" applyFill="1" applyBorder="1"/>
    <xf numFmtId="44" fontId="1" fillId="0" borderId="25" xfId="0" applyNumberFormat="1" applyFont="1" applyFill="1" applyBorder="1"/>
    <xf numFmtId="0" fontId="1" fillId="0" borderId="7" xfId="0" applyFont="1" applyFill="1" applyBorder="1"/>
    <xf numFmtId="0" fontId="1" fillId="0" borderId="82" xfId="0" applyFont="1" applyBorder="1"/>
    <xf numFmtId="0" fontId="0" fillId="0" borderId="76" xfId="0" applyBorder="1"/>
    <xf numFmtId="0" fontId="0" fillId="0" borderId="32" xfId="0" applyFont="1" applyBorder="1"/>
    <xf numFmtId="0" fontId="0" fillId="0" borderId="25" xfId="0" applyFont="1" applyBorder="1"/>
    <xf numFmtId="0" fontId="0" fillId="0" borderId="28" xfId="0" applyFont="1" applyBorder="1"/>
    <xf numFmtId="0" fontId="0" fillId="0" borderId="3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9" xfId="0" applyFont="1" applyBorder="1"/>
    <xf numFmtId="0" fontId="23" fillId="0" borderId="1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168" fontId="0" fillId="0" borderId="1" xfId="1" applyNumberFormat="1" applyFont="1" applyBorder="1" applyAlignment="1">
      <alignment horizontal="left"/>
    </xf>
    <xf numFmtId="44" fontId="0" fillId="0" borderId="1" xfId="1" applyNumberFormat="1" applyFont="1" applyBorder="1"/>
    <xf numFmtId="168" fontId="0" fillId="0" borderId="20" xfId="1" applyNumberFormat="1" applyFont="1" applyBorder="1"/>
    <xf numFmtId="0" fontId="0" fillId="0" borderId="0" xfId="0" applyFont="1" applyBorder="1"/>
    <xf numFmtId="0" fontId="16" fillId="0" borderId="0" xfId="0" applyFont="1"/>
    <xf numFmtId="0" fontId="0" fillId="0" borderId="4" xfId="0" applyFont="1" applyBorder="1"/>
    <xf numFmtId="168" fontId="0" fillId="0" borderId="1" xfId="1" applyNumberFormat="1" applyFont="1" applyBorder="1"/>
    <xf numFmtId="168" fontId="0" fillId="0" borderId="5" xfId="1" applyNumberFormat="1" applyFont="1" applyBorder="1"/>
    <xf numFmtId="168" fontId="0" fillId="0" borderId="19" xfId="1" applyNumberFormat="1" applyFont="1" applyBorder="1"/>
    <xf numFmtId="0" fontId="0" fillId="4" borderId="29" xfId="0" applyFill="1" applyBorder="1"/>
    <xf numFmtId="0" fontId="0" fillId="4" borderId="31" xfId="0" applyFill="1" applyBorder="1"/>
    <xf numFmtId="0" fontId="0" fillId="4" borderId="0" xfId="0" applyFill="1" applyBorder="1"/>
    <xf numFmtId="0" fontId="0" fillId="4" borderId="4" xfId="0" applyFill="1" applyBorder="1"/>
    <xf numFmtId="168" fontId="0" fillId="4" borderId="0" xfId="1" applyNumberFormat="1" applyFont="1" applyFill="1" applyBorder="1"/>
    <xf numFmtId="168" fontId="0" fillId="4" borderId="4" xfId="1" applyNumberFormat="1" applyFont="1" applyFill="1" applyBorder="1"/>
    <xf numFmtId="0" fontId="16" fillId="4" borderId="0" xfId="0" applyFont="1" applyFill="1"/>
    <xf numFmtId="0" fontId="0" fillId="4" borderId="0" xfId="0" applyFill="1"/>
    <xf numFmtId="0" fontId="0" fillId="5" borderId="0" xfId="0" applyFill="1"/>
    <xf numFmtId="44" fontId="3" fillId="4" borderId="6" xfId="1" applyFont="1" applyFill="1" applyBorder="1" applyAlignment="1">
      <alignment vertical="top"/>
    </xf>
    <xf numFmtId="44" fontId="0" fillId="4" borderId="23" xfId="1" applyFont="1" applyFill="1" applyBorder="1" applyAlignment="1">
      <alignment vertical="top"/>
    </xf>
    <xf numFmtId="44" fontId="0" fillId="4" borderId="15" xfId="1" applyFont="1" applyFill="1" applyBorder="1" applyAlignment="1">
      <alignment vertical="top"/>
    </xf>
    <xf numFmtId="44" fontId="0" fillId="4" borderId="16" xfId="1" applyFont="1" applyFill="1" applyBorder="1" applyAlignment="1">
      <alignment vertical="top"/>
    </xf>
    <xf numFmtId="44" fontId="0" fillId="4" borderId="1" xfId="1" applyFont="1" applyFill="1" applyBorder="1" applyAlignment="1">
      <alignment vertical="top"/>
    </xf>
    <xf numFmtId="44" fontId="0" fillId="4" borderId="20" xfId="1" applyFont="1" applyFill="1" applyBorder="1" applyAlignment="1">
      <alignment vertical="top"/>
    </xf>
    <xf numFmtId="44" fontId="0" fillId="4" borderId="24" xfId="1" applyFont="1" applyFill="1" applyBorder="1" applyAlignment="1">
      <alignment vertical="top"/>
    </xf>
    <xf numFmtId="44" fontId="0" fillId="4" borderId="40" xfId="1" applyFont="1" applyFill="1" applyBorder="1" applyAlignment="1">
      <alignment vertical="top"/>
    </xf>
    <xf numFmtId="44" fontId="7" fillId="4" borderId="6" xfId="1" applyFont="1" applyFill="1" applyBorder="1" applyAlignment="1">
      <alignment vertical="top"/>
    </xf>
    <xf numFmtId="44" fontId="7" fillId="4" borderId="23" xfId="1" applyFont="1" applyFill="1" applyBorder="1" applyAlignment="1">
      <alignment vertical="top"/>
    </xf>
    <xf numFmtId="44" fontId="0" fillId="4" borderId="8" xfId="1" applyFont="1" applyFill="1" applyBorder="1" applyAlignment="1">
      <alignment vertical="top"/>
    </xf>
    <xf numFmtId="44" fontId="0" fillId="4" borderId="42" xfId="1" applyFont="1" applyFill="1" applyBorder="1" applyAlignment="1">
      <alignment vertical="top"/>
    </xf>
    <xf numFmtId="44" fontId="0" fillId="4" borderId="6" xfId="1" applyFont="1" applyFill="1" applyBorder="1" applyAlignment="1">
      <alignment vertical="top"/>
    </xf>
    <xf numFmtId="44" fontId="0" fillId="4" borderId="3" xfId="1" applyFont="1" applyFill="1" applyBorder="1" applyAlignment="1">
      <alignment vertical="top"/>
    </xf>
    <xf numFmtId="44" fontId="0" fillId="4" borderId="27" xfId="1" applyFont="1" applyFill="1" applyBorder="1" applyAlignment="1">
      <alignment vertical="top"/>
    </xf>
    <xf numFmtId="10" fontId="3" fillId="4" borderId="15" xfId="0" applyNumberFormat="1" applyFont="1" applyFill="1" applyBorder="1" applyAlignment="1">
      <alignment vertical="top"/>
    </xf>
    <xf numFmtId="10" fontId="3" fillId="4" borderId="1" xfId="0" applyNumberFormat="1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vertical="top"/>
    </xf>
    <xf numFmtId="165" fontId="3" fillId="4" borderId="24" xfId="0" applyNumberFormat="1" applyFont="1" applyFill="1" applyBorder="1" applyAlignment="1">
      <alignment vertical="top"/>
    </xf>
    <xf numFmtId="165" fontId="3" fillId="4" borderId="6" xfId="0" applyNumberFormat="1" applyFont="1" applyFill="1" applyBorder="1" applyAlignment="1">
      <alignment vertical="top"/>
    </xf>
    <xf numFmtId="10" fontId="3" fillId="4" borderId="8" xfId="2" applyNumberFormat="1" applyFont="1" applyFill="1" applyBorder="1" applyAlignment="1">
      <alignment vertical="top"/>
    </xf>
    <xf numFmtId="44" fontId="3" fillId="4" borderId="3" xfId="1" applyFont="1" applyFill="1" applyBorder="1" applyAlignment="1">
      <alignment vertical="top"/>
    </xf>
    <xf numFmtId="0" fontId="0" fillId="4" borderId="6" xfId="0" applyFont="1" applyFill="1" applyBorder="1" applyAlignment="1">
      <alignment vertical="top"/>
    </xf>
    <xf numFmtId="44" fontId="0" fillId="4" borderId="6" xfId="0" applyNumberFormat="1" applyFill="1" applyBorder="1" applyAlignment="1">
      <alignment vertical="top"/>
    </xf>
    <xf numFmtId="44" fontId="0" fillId="4" borderId="23" xfId="0" applyNumberFormat="1" applyFill="1" applyBorder="1" applyAlignment="1">
      <alignment vertical="top"/>
    </xf>
    <xf numFmtId="44" fontId="0" fillId="4" borderId="8" xfId="0" applyNumberFormat="1" applyFill="1" applyBorder="1" applyAlignment="1">
      <alignment vertical="top"/>
    </xf>
    <xf numFmtId="44" fontId="0" fillId="4" borderId="42" xfId="0" applyNumberFormat="1" applyFill="1" applyBorder="1" applyAlignment="1">
      <alignment vertical="top"/>
    </xf>
    <xf numFmtId="44" fontId="0" fillId="4" borderId="15" xfId="0" applyNumberFormat="1" applyFill="1" applyBorder="1" applyAlignment="1">
      <alignment vertical="top"/>
    </xf>
    <xf numFmtId="44" fontId="0" fillId="4" borderId="16" xfId="0" applyNumberFormat="1" applyFill="1" applyBorder="1" applyAlignment="1">
      <alignment vertical="top"/>
    </xf>
    <xf numFmtId="44" fontId="0" fillId="4" borderId="5" xfId="0" applyNumberFormat="1" applyFill="1" applyBorder="1" applyAlignment="1">
      <alignment vertical="top"/>
    </xf>
    <xf numFmtId="44" fontId="0" fillId="4" borderId="19" xfId="0" applyNumberFormat="1" applyFill="1" applyBorder="1" applyAlignment="1">
      <alignment vertical="top"/>
    </xf>
    <xf numFmtId="10" fontId="3" fillId="4" borderId="1" xfId="2" applyNumberFormat="1" applyFont="1" applyFill="1" applyBorder="1" applyAlignment="1">
      <alignment vertical="top"/>
    </xf>
    <xf numFmtId="44" fontId="0" fillId="4" borderId="1" xfId="0" applyNumberFormat="1" applyFill="1" applyBorder="1" applyAlignment="1">
      <alignment vertical="top"/>
    </xf>
    <xf numFmtId="44" fontId="0" fillId="4" borderId="20" xfId="0" applyNumberFormat="1" applyFill="1" applyBorder="1" applyAlignment="1">
      <alignment vertical="top"/>
    </xf>
    <xf numFmtId="44" fontId="1" fillId="4" borderId="1" xfId="0" applyNumberFormat="1" applyFont="1" applyFill="1" applyBorder="1" applyAlignment="1">
      <alignment vertical="top"/>
    </xf>
    <xf numFmtId="44" fontId="1" fillId="4" borderId="20" xfId="0" applyNumberFormat="1" applyFont="1" applyFill="1" applyBorder="1" applyAlignment="1">
      <alignment vertical="top"/>
    </xf>
    <xf numFmtId="9" fontId="0" fillId="12" borderId="6" xfId="0" applyNumberFormat="1" applyFill="1" applyBorder="1" applyAlignment="1">
      <alignment vertical="top"/>
    </xf>
    <xf numFmtId="9" fontId="0" fillId="12" borderId="23" xfId="0" applyNumberFormat="1" applyFill="1" applyBorder="1" applyAlignment="1">
      <alignment vertical="top"/>
    </xf>
    <xf numFmtId="44" fontId="1" fillId="12" borderId="10" xfId="0" applyNumberFormat="1" applyFont="1" applyFill="1" applyBorder="1" applyAlignment="1">
      <alignment vertical="top"/>
    </xf>
    <xf numFmtId="44" fontId="1" fillId="12" borderId="43" xfId="0" applyNumberFormat="1" applyFont="1" applyFill="1" applyBorder="1" applyAlignment="1">
      <alignment vertical="top"/>
    </xf>
    <xf numFmtId="44" fontId="1" fillId="12" borderId="1" xfId="0" applyNumberFormat="1" applyFont="1" applyFill="1" applyBorder="1" applyAlignment="1">
      <alignment vertical="top"/>
    </xf>
    <xf numFmtId="44" fontId="1" fillId="12" borderId="20" xfId="0" applyNumberFormat="1" applyFont="1" applyFill="1" applyBorder="1" applyAlignment="1">
      <alignment vertical="top"/>
    </xf>
    <xf numFmtId="44" fontId="1" fillId="12" borderId="24" xfId="0" applyNumberFormat="1" applyFont="1" applyFill="1" applyBorder="1" applyAlignment="1">
      <alignment vertical="top"/>
    </xf>
    <xf numFmtId="44" fontId="1" fillId="12" borderId="40" xfId="0" applyNumberFormat="1" applyFont="1" applyFill="1" applyBorder="1" applyAlignment="1">
      <alignment vertical="top"/>
    </xf>
    <xf numFmtId="0" fontId="1" fillId="8" borderId="12" xfId="0" applyFont="1" applyFill="1" applyBorder="1"/>
    <xf numFmtId="0" fontId="0" fillId="8" borderId="25" xfId="0" applyFill="1" applyBorder="1" applyAlignment="1" applyProtection="1">
      <alignment vertical="top"/>
      <protection locked="0"/>
    </xf>
    <xf numFmtId="0" fontId="0" fillId="8" borderId="0" xfId="0" applyNumberFormat="1" applyFill="1" applyBorder="1" applyAlignment="1" applyProtection="1">
      <alignment vertical="top"/>
      <protection locked="0"/>
    </xf>
    <xf numFmtId="0" fontId="0" fillId="8" borderId="0" xfId="0" applyFill="1" applyBorder="1" applyAlignment="1" applyProtection="1">
      <alignment vertical="top"/>
      <protection locked="0"/>
    </xf>
    <xf numFmtId="10" fontId="0" fillId="8" borderId="0" xfId="0" applyNumberFormat="1" applyFill="1" applyBorder="1" applyAlignment="1" applyProtection="1">
      <alignment vertical="top"/>
      <protection locked="0"/>
    </xf>
    <xf numFmtId="0" fontId="0" fillId="8" borderId="7" xfId="0" applyFill="1" applyBorder="1"/>
    <xf numFmtId="0" fontId="0" fillId="8" borderId="13" xfId="0" applyFill="1" applyBorder="1"/>
    <xf numFmtId="0" fontId="1" fillId="0" borderId="36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44" fontId="0" fillId="0" borderId="29" xfId="1" applyFont="1" applyFill="1" applyBorder="1"/>
    <xf numFmtId="0" fontId="1" fillId="0" borderId="32" xfId="0" applyFont="1" applyFill="1" applyBorder="1" applyAlignment="1">
      <alignment wrapText="1"/>
    </xf>
    <xf numFmtId="17" fontId="0" fillId="0" borderId="32" xfId="0" applyNumberFormat="1" applyFont="1" applyFill="1" applyBorder="1" applyAlignment="1">
      <alignment wrapText="1"/>
    </xf>
    <xf numFmtId="10" fontId="0" fillId="4" borderId="33" xfId="0" applyNumberFormat="1" applyFill="1" applyBorder="1"/>
    <xf numFmtId="10" fontId="0" fillId="4" borderId="37" xfId="0" applyNumberFormat="1" applyFill="1" applyBorder="1"/>
    <xf numFmtId="44" fontId="0" fillId="4" borderId="37" xfId="1" applyFont="1" applyFill="1" applyBorder="1"/>
    <xf numFmtId="44" fontId="0" fillId="4" borderId="38" xfId="1" applyFont="1" applyFill="1" applyBorder="1"/>
    <xf numFmtId="10" fontId="0" fillId="4" borderId="29" xfId="2" applyNumberFormat="1" applyFont="1" applyFill="1" applyBorder="1"/>
    <xf numFmtId="44" fontId="0" fillId="4" borderId="32" xfId="0" applyNumberFormat="1" applyFill="1" applyBorder="1"/>
    <xf numFmtId="44" fontId="0" fillId="4" borderId="36" xfId="0" applyNumberFormat="1" applyFill="1" applyBorder="1"/>
    <xf numFmtId="44" fontId="0" fillId="4" borderId="33" xfId="0" applyNumberFormat="1" applyFill="1" applyBorder="1"/>
    <xf numFmtId="44" fontId="0" fillId="4" borderId="37" xfId="0" applyNumberFormat="1" applyFill="1" applyBorder="1"/>
    <xf numFmtId="44" fontId="0" fillId="4" borderId="34" xfId="0" applyNumberFormat="1" applyFill="1" applyBorder="1"/>
    <xf numFmtId="44" fontId="0" fillId="4" borderId="38" xfId="0" applyNumberFormat="1" applyFill="1" applyBorder="1"/>
    <xf numFmtId="0" fontId="25" fillId="0" borderId="33" xfId="0" applyFont="1" applyFill="1" applyBorder="1"/>
    <xf numFmtId="2" fontId="0" fillId="4" borderId="33" xfId="2" applyNumberFormat="1" applyFont="1" applyFill="1" applyBorder="1"/>
    <xf numFmtId="17" fontId="0" fillId="4" borderId="28" xfId="0" applyNumberFormat="1" applyFont="1" applyFill="1" applyBorder="1" applyAlignment="1">
      <alignment wrapText="1"/>
    </xf>
    <xf numFmtId="10" fontId="0" fillId="4" borderId="33" xfId="2" applyNumberFormat="1" applyFont="1" applyFill="1" applyBorder="1"/>
    <xf numFmtId="0" fontId="0" fillId="4" borderId="33" xfId="0" applyFont="1" applyFill="1" applyBorder="1"/>
    <xf numFmtId="17" fontId="0" fillId="4" borderId="36" xfId="0" applyNumberFormat="1" applyFont="1" applyFill="1" applyBorder="1" applyAlignment="1">
      <alignment wrapText="1"/>
    </xf>
    <xf numFmtId="10" fontId="0" fillId="4" borderId="37" xfId="2" applyNumberFormat="1" applyFont="1" applyFill="1" applyBorder="1"/>
    <xf numFmtId="0" fontId="0" fillId="4" borderId="37" xfId="0" applyFont="1" applyFill="1" applyBorder="1"/>
    <xf numFmtId="44" fontId="0" fillId="4" borderId="36" xfId="1" applyFont="1" applyFill="1" applyBorder="1"/>
    <xf numFmtId="14" fontId="0" fillId="4" borderId="1" xfId="0" applyNumberFormat="1" applyFill="1" applyBorder="1"/>
    <xf numFmtId="14" fontId="24" fillId="0" borderId="0" xfId="0" applyNumberFormat="1" applyFont="1" applyBorder="1"/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69" xfId="0" applyFill="1" applyBorder="1"/>
    <xf numFmtId="0" fontId="0" fillId="0" borderId="67" xfId="0" applyFill="1" applyBorder="1"/>
    <xf numFmtId="0" fontId="0" fillId="0" borderId="62" xfId="0" applyFill="1" applyBorder="1"/>
    <xf numFmtId="0" fontId="0" fillId="0" borderId="61" xfId="0" applyFill="1" applyBorder="1"/>
    <xf numFmtId="0" fontId="0" fillId="0" borderId="60" xfId="0" applyFill="1" applyBorder="1"/>
    <xf numFmtId="0" fontId="0" fillId="0" borderId="58" xfId="0" applyFill="1" applyBorder="1"/>
    <xf numFmtId="0" fontId="0" fillId="0" borderId="0" xfId="0" applyFill="1" applyBorder="1" applyProtection="1">
      <protection locked="0"/>
    </xf>
    <xf numFmtId="10" fontId="0" fillId="0" borderId="0" xfId="2" applyNumberFormat="1" applyFon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Border="1" applyAlignment="1" applyProtection="1">
      <protection locked="0"/>
    </xf>
    <xf numFmtId="10" fontId="0" fillId="6" borderId="33" xfId="2" applyNumberFormat="1" applyFont="1" applyFill="1" applyBorder="1" applyAlignment="1" applyProtection="1">
      <alignment horizontal="right"/>
      <protection locked="0"/>
    </xf>
    <xf numFmtId="44" fontId="0" fillId="6" borderId="33" xfId="1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44" fontId="0" fillId="6" borderId="37" xfId="1" applyFont="1" applyFill="1" applyBorder="1" applyProtection="1">
      <protection locked="0"/>
    </xf>
    <xf numFmtId="0" fontId="0" fillId="6" borderId="32" xfId="0" applyFill="1" applyBorder="1" applyAlignment="1" applyProtection="1">
      <alignment horizontal="right"/>
      <protection locked="0"/>
    </xf>
    <xf numFmtId="0" fontId="0" fillId="6" borderId="36" xfId="0" applyFill="1" applyBorder="1" applyAlignment="1" applyProtection="1">
      <alignment horizontal="right"/>
      <protection locked="0"/>
    </xf>
    <xf numFmtId="0" fontId="0" fillId="6" borderId="28" xfId="0" applyFill="1" applyBorder="1" applyAlignment="1" applyProtection="1">
      <alignment horizontal="right"/>
      <protection locked="0"/>
    </xf>
    <xf numFmtId="0" fontId="0" fillId="6" borderId="33" xfId="0" applyFill="1" applyBorder="1" applyAlignment="1" applyProtection="1">
      <alignment horizontal="right"/>
      <protection locked="0"/>
    </xf>
    <xf numFmtId="0" fontId="0" fillId="6" borderId="37" xfId="0" applyFill="1" applyBorder="1" applyAlignment="1" applyProtection="1">
      <alignment horizontal="right"/>
      <protection locked="0"/>
    </xf>
    <xf numFmtId="0" fontId="0" fillId="6" borderId="29" xfId="0" applyFill="1" applyBorder="1" applyAlignment="1" applyProtection="1">
      <alignment horizontal="right"/>
      <protection locked="0"/>
    </xf>
    <xf numFmtId="0" fontId="0" fillId="6" borderId="34" xfId="0" applyFill="1" applyBorder="1" applyAlignment="1" applyProtection="1">
      <alignment horizontal="right"/>
      <protection locked="0"/>
    </xf>
    <xf numFmtId="0" fontId="0" fillId="6" borderId="38" xfId="0" applyFill="1" applyBorder="1" applyAlignment="1" applyProtection="1">
      <alignment horizontal="right"/>
      <protection locked="0"/>
    </xf>
    <xf numFmtId="0" fontId="0" fillId="6" borderId="31" xfId="0" applyFill="1" applyBorder="1" applyAlignment="1" applyProtection="1">
      <alignment horizontal="right"/>
      <protection locked="0"/>
    </xf>
    <xf numFmtId="17" fontId="0" fillId="6" borderId="38" xfId="0" applyNumberFormat="1" applyFont="1" applyFill="1" applyBorder="1" applyAlignment="1" applyProtection="1">
      <alignment wrapText="1"/>
      <protection locked="0"/>
    </xf>
    <xf numFmtId="17" fontId="0" fillId="6" borderId="31" xfId="0" applyNumberFormat="1" applyFont="1" applyFill="1" applyBorder="1" applyAlignment="1" applyProtection="1">
      <alignment wrapText="1"/>
      <protection locked="0"/>
    </xf>
    <xf numFmtId="2" fontId="0" fillId="6" borderId="37" xfId="2" applyNumberFormat="1" applyFont="1" applyFill="1" applyBorder="1" applyProtection="1">
      <protection locked="0"/>
    </xf>
    <xf numFmtId="2" fontId="0" fillId="6" borderId="29" xfId="2" applyNumberFormat="1" applyFont="1" applyFill="1" applyBorder="1" applyProtection="1">
      <protection locked="0"/>
    </xf>
    <xf numFmtId="17" fontId="0" fillId="6" borderId="34" xfId="0" applyNumberFormat="1" applyFont="1" applyFill="1" applyBorder="1" applyAlignment="1" applyProtection="1">
      <alignment wrapText="1"/>
      <protection locked="0"/>
    </xf>
    <xf numFmtId="0" fontId="0" fillId="6" borderId="24" xfId="0" applyFill="1" applyBorder="1"/>
    <xf numFmtId="44" fontId="1" fillId="4" borderId="38" xfId="0" applyNumberFormat="1" applyFont="1" applyFill="1" applyBorder="1"/>
    <xf numFmtId="44" fontId="1" fillId="4" borderId="36" xfId="0" applyNumberFormat="1" applyFont="1" applyFill="1" applyBorder="1"/>
    <xf numFmtId="44" fontId="1" fillId="4" borderId="37" xfId="0" applyNumberFormat="1" applyFont="1" applyFill="1" applyBorder="1"/>
    <xf numFmtId="10" fontId="0" fillId="6" borderId="92" xfId="2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/>
    <xf numFmtId="2" fontId="0" fillId="4" borderId="33" xfId="2" applyNumberFormat="1" applyFont="1" applyFill="1" applyBorder="1" applyAlignment="1" applyProtection="1">
      <alignment horizontal="right"/>
    </xf>
    <xf numFmtId="2" fontId="0" fillId="4" borderId="94" xfId="2" applyNumberFormat="1" applyFont="1" applyFill="1" applyBorder="1" applyAlignment="1" applyProtection="1">
      <alignment horizontal="right"/>
    </xf>
    <xf numFmtId="0" fontId="0" fillId="4" borderId="32" xfId="0" applyFont="1" applyFill="1" applyBorder="1"/>
    <xf numFmtId="0" fontId="0" fillId="4" borderId="36" xfId="0" applyFont="1" applyFill="1" applyBorder="1"/>
    <xf numFmtId="44" fontId="0" fillId="4" borderId="84" xfId="0" applyNumberFormat="1" applyFill="1" applyBorder="1"/>
    <xf numFmtId="44" fontId="1" fillId="4" borderId="5" xfId="1" applyFont="1" applyFill="1" applyBorder="1" applyAlignment="1">
      <alignment vertical="center"/>
    </xf>
    <xf numFmtId="44" fontId="0" fillId="4" borderId="5" xfId="0" applyNumberFormat="1" applyFill="1" applyBorder="1"/>
    <xf numFmtId="0" fontId="1" fillId="0" borderId="25" xfId="0" applyFont="1" applyFill="1" applyBorder="1"/>
    <xf numFmtId="0" fontId="1" fillId="0" borderId="16" xfId="0" applyFont="1" applyFill="1" applyBorder="1"/>
    <xf numFmtId="14" fontId="24" fillId="0" borderId="0" xfId="0" applyNumberFormat="1" applyFont="1" applyBorder="1" applyProtection="1"/>
    <xf numFmtId="0" fontId="0" fillId="8" borderId="11" xfId="0" applyFill="1" applyBorder="1" applyAlignment="1" applyProtection="1">
      <alignment horizontal="left"/>
      <protection locked="0"/>
    </xf>
    <xf numFmtId="0" fontId="0" fillId="8" borderId="64" xfId="0" applyFill="1" applyBorder="1" applyAlignment="1" applyProtection="1">
      <alignment horizontal="left"/>
      <protection locked="0"/>
    </xf>
    <xf numFmtId="0" fontId="0" fillId="8" borderId="63" xfId="0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</xf>
    <xf numFmtId="0" fontId="0" fillId="0" borderId="0" xfId="0" applyAlignment="1">
      <alignment vertical="top" wrapText="1"/>
    </xf>
    <xf numFmtId="0" fontId="0" fillId="8" borderId="5" xfId="0" applyFill="1" applyBorder="1"/>
    <xf numFmtId="0" fontId="0" fillId="4" borderId="5" xfId="0" applyFill="1" applyBorder="1"/>
    <xf numFmtId="0" fontId="0" fillId="4" borderId="0" xfId="0" applyFill="1" applyProtection="1"/>
    <xf numFmtId="9" fontId="0" fillId="0" borderId="29" xfId="2" applyFont="1" applyBorder="1" applyAlignment="1">
      <alignment vertical="center" wrapText="1"/>
    </xf>
    <xf numFmtId="9" fontId="0" fillId="0" borderId="29" xfId="2" applyFont="1" applyBorder="1"/>
    <xf numFmtId="9" fontId="0" fillId="0" borderId="28" xfId="2" applyFont="1" applyBorder="1" applyAlignment="1">
      <alignment vertical="center" wrapText="1"/>
    </xf>
    <xf numFmtId="9" fontId="0" fillId="0" borderId="29" xfId="2" applyFont="1" applyFill="1" applyBorder="1" applyAlignment="1">
      <alignment vertical="center" wrapText="1"/>
    </xf>
    <xf numFmtId="9" fontId="0" fillId="0" borderId="31" xfId="0" applyNumberFormat="1" applyBorder="1" applyAlignment="1">
      <alignment vertical="center" wrapText="1"/>
    </xf>
    <xf numFmtId="0" fontId="0" fillId="4" borderId="90" xfId="0" applyFont="1" applyFill="1" applyBorder="1" applyAlignment="1" applyProtection="1">
      <alignment horizontal="left"/>
    </xf>
    <xf numFmtId="0" fontId="0" fillId="0" borderId="28" xfId="0" applyBorder="1" applyAlignment="1">
      <alignment vertical="center" wrapText="1"/>
    </xf>
    <xf numFmtId="0" fontId="28" fillId="0" borderId="0" xfId="0" applyFont="1" applyBorder="1" applyProtection="1"/>
    <xf numFmtId="0" fontId="28" fillId="0" borderId="0" xfId="0" applyFont="1" applyBorder="1"/>
    <xf numFmtId="0" fontId="0" fillId="13" borderId="1" xfId="0" applyFill="1" applyBorder="1" applyProtection="1">
      <protection locked="0"/>
    </xf>
    <xf numFmtId="9" fontId="0" fillId="4" borderId="80" xfId="0" applyNumberFormat="1" applyFill="1" applyBorder="1" applyProtection="1"/>
    <xf numFmtId="9" fontId="0" fillId="4" borderId="66" xfId="0" applyNumberFormat="1" applyFill="1" applyBorder="1" applyProtection="1"/>
    <xf numFmtId="0" fontId="28" fillId="0" borderId="0" xfId="0" applyFont="1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44" fontId="0" fillId="4" borderId="1" xfId="1" applyFont="1" applyFill="1" applyBorder="1" applyProtection="1"/>
    <xf numFmtId="44" fontId="0" fillId="4" borderId="1" xfId="0" applyNumberFormat="1" applyFont="1" applyFill="1" applyBorder="1" applyAlignment="1" applyProtection="1"/>
    <xf numFmtId="44" fontId="0" fillId="4" borderId="2" xfId="0" applyNumberFormat="1" applyFill="1" applyBorder="1" applyProtection="1"/>
    <xf numFmtId="0" fontId="0" fillId="0" borderId="0" xfId="0" applyFont="1" applyFill="1" applyBorder="1" applyAlignment="1" applyProtection="1">
      <alignment horizontal="left"/>
    </xf>
    <xf numFmtId="0" fontId="29" fillId="0" borderId="0" xfId="0" applyFont="1"/>
    <xf numFmtId="44" fontId="7" fillId="4" borderId="1" xfId="1" applyFont="1" applyFill="1" applyBorder="1"/>
    <xf numFmtId="0" fontId="0" fillId="0" borderId="1" xfId="0" applyBorder="1" applyAlignment="1"/>
    <xf numFmtId="44" fontId="0" fillId="4" borderId="1" xfId="0" applyNumberFormat="1" applyFill="1" applyBorder="1" applyProtection="1"/>
    <xf numFmtId="0" fontId="16" fillId="4" borderId="1" xfId="0" applyFont="1" applyFill="1" applyBorder="1" applyProtection="1"/>
    <xf numFmtId="0" fontId="0" fillId="0" borderId="0" xfId="0" applyAlignment="1">
      <alignment horizontal="right"/>
    </xf>
    <xf numFmtId="167" fontId="0" fillId="4" borderId="1" xfId="2" applyNumberFormat="1" applyFont="1" applyFill="1" applyBorder="1" applyProtection="1"/>
    <xf numFmtId="9" fontId="7" fillId="0" borderId="0" xfId="2" applyFont="1" applyFill="1" applyBorder="1"/>
    <xf numFmtId="167" fontId="0" fillId="5" borderId="1" xfId="0" applyNumberFormat="1" applyFill="1" applyBorder="1" applyProtection="1">
      <protection locked="0"/>
    </xf>
    <xf numFmtId="0" fontId="4" fillId="0" borderId="0" xfId="0" applyFont="1" applyAlignment="1">
      <alignment vertical="top"/>
    </xf>
    <xf numFmtId="0" fontId="0" fillId="0" borderId="0" xfId="0" applyAlignment="1" applyProtection="1">
      <alignment vertical="top"/>
      <protection locked="0"/>
    </xf>
    <xf numFmtId="0" fontId="0" fillId="8" borderId="10" xfId="0" applyFill="1" applyBorder="1" applyAlignment="1" applyProtection="1">
      <alignment vertical="top"/>
      <protection locked="0"/>
    </xf>
    <xf numFmtId="44" fontId="0" fillId="8" borderId="10" xfId="1" applyFont="1" applyFill="1" applyBorder="1" applyAlignment="1" applyProtection="1">
      <alignment vertical="top"/>
      <protection locked="0"/>
    </xf>
    <xf numFmtId="0" fontId="0" fillId="8" borderId="1" xfId="0" applyFill="1" applyBorder="1" applyAlignment="1" applyProtection="1">
      <alignment vertical="top"/>
      <protection locked="0"/>
    </xf>
    <xf numFmtId="44" fontId="0" fillId="8" borderId="1" xfId="1" applyFont="1" applyFill="1" applyBorder="1" applyAlignment="1" applyProtection="1">
      <alignment vertical="top"/>
      <protection locked="0"/>
    </xf>
    <xf numFmtId="0" fontId="0" fillId="8" borderId="14" xfId="0" applyFill="1" applyBorder="1" applyAlignment="1" applyProtection="1">
      <alignment vertical="top"/>
      <protection locked="0"/>
    </xf>
    <xf numFmtId="0" fontId="0" fillId="8" borderId="15" xfId="0" applyFill="1" applyBorder="1" applyAlignment="1" applyProtection="1">
      <alignment vertical="top"/>
      <protection locked="0"/>
    </xf>
    <xf numFmtId="44" fontId="0" fillId="8" borderId="15" xfId="1" applyFont="1" applyFill="1" applyBorder="1" applyAlignment="1" applyProtection="1">
      <alignment vertical="top"/>
      <protection locked="0"/>
    </xf>
    <xf numFmtId="0" fontId="0" fillId="8" borderId="35" xfId="0" applyFill="1" applyBorder="1" applyAlignment="1" applyProtection="1">
      <alignment vertical="top"/>
      <protection locked="0"/>
    </xf>
    <xf numFmtId="0" fontId="0" fillId="8" borderId="26" xfId="0" applyFill="1" applyBorder="1" applyAlignment="1" applyProtection="1">
      <alignment vertical="top"/>
      <protection locked="0"/>
    </xf>
    <xf numFmtId="0" fontId="0" fillId="8" borderId="3" xfId="0" applyFill="1" applyBorder="1" applyAlignment="1" applyProtection="1">
      <alignment vertical="top"/>
      <protection locked="0"/>
    </xf>
    <xf numFmtId="44" fontId="0" fillId="8" borderId="3" xfId="1" applyFont="1" applyFill="1" applyBorder="1" applyAlignment="1" applyProtection="1">
      <alignment vertical="top"/>
      <protection locked="0"/>
    </xf>
    <xf numFmtId="44" fontId="16" fillId="5" borderId="73" xfId="1" applyFont="1" applyFill="1" applyBorder="1" applyAlignment="1" applyProtection="1">
      <alignment vertical="top"/>
      <protection locked="0"/>
    </xf>
    <xf numFmtId="0" fontId="0" fillId="8" borderId="17" xfId="0" applyFill="1" applyBorder="1" applyAlignment="1" applyProtection="1">
      <alignment vertical="top"/>
      <protection locked="0"/>
    </xf>
    <xf numFmtId="0" fontId="1" fillId="8" borderId="107" xfId="0" applyFont="1" applyFill="1" applyBorder="1" applyAlignment="1" applyProtection="1">
      <alignment horizontal="left" vertical="center"/>
      <protection locked="0"/>
    </xf>
    <xf numFmtId="0" fontId="0" fillId="8" borderId="41" xfId="0" applyFill="1" applyBorder="1" applyAlignment="1" applyProtection="1">
      <alignment vertical="top"/>
      <protection locked="0"/>
    </xf>
    <xf numFmtId="0" fontId="0" fillId="8" borderId="8" xfId="0" applyFill="1" applyBorder="1" applyAlignment="1" applyProtection="1">
      <alignment vertical="top"/>
      <protection locked="0"/>
    </xf>
    <xf numFmtId="44" fontId="0" fillId="8" borderId="8" xfId="1" applyFont="1" applyFill="1" applyBorder="1" applyAlignment="1" applyProtection="1">
      <alignment vertical="top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0" fontId="0" fillId="8" borderId="77" xfId="0" applyFill="1" applyBorder="1" applyAlignment="1" applyProtection="1">
      <alignment vertical="top"/>
      <protection locked="0"/>
    </xf>
    <xf numFmtId="0" fontId="0" fillId="8" borderId="18" xfId="0" applyFill="1" applyBorder="1" applyAlignment="1" applyProtection="1">
      <alignment vertical="top"/>
      <protection locked="0"/>
    </xf>
    <xf numFmtId="0" fontId="0" fillId="8" borderId="5" xfId="0" applyFill="1" applyBorder="1" applyAlignment="1" applyProtection="1">
      <alignment vertical="top"/>
      <protection locked="0"/>
    </xf>
    <xf numFmtId="0" fontId="1" fillId="8" borderId="5" xfId="0" applyFont="1" applyFill="1" applyBorder="1" applyAlignment="1" applyProtection="1">
      <alignment horizontal="left" vertical="center"/>
      <protection locked="0"/>
    </xf>
    <xf numFmtId="44" fontId="0" fillId="8" borderId="5" xfId="1" applyFont="1" applyFill="1" applyBorder="1" applyAlignment="1" applyProtection="1">
      <alignment vertical="top"/>
      <protection locked="0"/>
    </xf>
    <xf numFmtId="0" fontId="6" fillId="0" borderId="0" xfId="0" applyFont="1" applyProtection="1"/>
    <xf numFmtId="0" fontId="22" fillId="0" borderId="0" xfId="0" applyFont="1" applyBorder="1" applyProtection="1"/>
    <xf numFmtId="0" fontId="0" fillId="0" borderId="0" xfId="0" applyAlignment="1" applyProtection="1">
      <alignment vertical="top"/>
    </xf>
    <xf numFmtId="0" fontId="1" fillId="0" borderId="12" xfId="0" applyFont="1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1" fillId="0" borderId="13" xfId="0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/>
    </xf>
    <xf numFmtId="0" fontId="0" fillId="0" borderId="33" xfId="0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6" fillId="0" borderId="33" xfId="0" applyFont="1" applyBorder="1" applyAlignment="1" applyProtection="1">
      <alignment vertical="top"/>
    </xf>
    <xf numFmtId="44" fontId="16" fillId="0" borderId="0" xfId="1" applyFont="1" applyBorder="1" applyAlignment="1" applyProtection="1">
      <alignment vertical="top"/>
    </xf>
    <xf numFmtId="0" fontId="0" fillId="0" borderId="42" xfId="0" applyBorder="1" applyAlignment="1" applyProtection="1">
      <alignment vertical="top"/>
    </xf>
    <xf numFmtId="0" fontId="1" fillId="0" borderId="33" xfId="0" applyFont="1" applyFill="1" applyBorder="1" applyAlignment="1" applyProtection="1">
      <alignment vertical="top"/>
    </xf>
    <xf numFmtId="0" fontId="0" fillId="0" borderId="109" xfId="0" applyBorder="1" applyAlignment="1" applyProtection="1">
      <alignment vertical="top"/>
    </xf>
    <xf numFmtId="0" fontId="1" fillId="0" borderId="29" xfId="0" applyFont="1" applyBorder="1" applyAlignment="1" applyProtection="1">
      <alignment vertical="top"/>
    </xf>
    <xf numFmtId="44" fontId="16" fillId="0" borderId="107" xfId="1" applyFont="1" applyBorder="1" applyAlignment="1" applyProtection="1">
      <alignment vertical="top"/>
    </xf>
    <xf numFmtId="0" fontId="0" fillId="0" borderId="29" xfId="0" applyBorder="1" applyAlignment="1" applyProtection="1">
      <alignment vertical="top"/>
    </xf>
    <xf numFmtId="0" fontId="0" fillId="0" borderId="37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21" fillId="0" borderId="0" xfId="0" applyFont="1" applyBorder="1" applyAlignment="1" applyProtection="1">
      <alignment horizontal="left" vertical="top" wrapText="1"/>
    </xf>
    <xf numFmtId="0" fontId="0" fillId="0" borderId="44" xfId="0" applyBorder="1" applyAlignment="1" applyProtection="1">
      <alignment vertical="top"/>
    </xf>
    <xf numFmtId="0" fontId="16" fillId="0" borderId="81" xfId="0" applyFont="1" applyBorder="1" applyAlignment="1" applyProtection="1">
      <alignment vertical="top"/>
    </xf>
    <xf numFmtId="44" fontId="21" fillId="0" borderId="83" xfId="1" applyFont="1" applyBorder="1" applyAlignment="1" applyProtection="1">
      <alignment vertical="top"/>
    </xf>
    <xf numFmtId="44" fontId="16" fillId="0" borderId="72" xfId="1" applyFont="1" applyBorder="1" applyAlignment="1" applyProtection="1">
      <alignment vertical="top"/>
    </xf>
    <xf numFmtId="0" fontId="16" fillId="0" borderId="112" xfId="0" applyFont="1" applyBorder="1" applyAlignment="1" applyProtection="1">
      <alignment vertical="top"/>
    </xf>
    <xf numFmtId="44" fontId="16" fillId="0" borderId="73" xfId="1" applyFont="1" applyBorder="1" applyAlignment="1" applyProtection="1">
      <alignment vertical="top"/>
    </xf>
    <xf numFmtId="44" fontId="21" fillId="0" borderId="73" xfId="1" applyFont="1" applyBorder="1" applyAlignment="1" applyProtection="1">
      <alignment vertical="top"/>
    </xf>
    <xf numFmtId="0" fontId="0" fillId="0" borderId="34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21" fillId="0" borderId="4" xfId="0" applyFont="1" applyBorder="1" applyAlignment="1" applyProtection="1">
      <alignment horizontal="left" vertical="top" wrapText="1"/>
    </xf>
    <xf numFmtId="0" fontId="0" fillId="0" borderId="31" xfId="0" applyBorder="1" applyAlignment="1" applyProtection="1">
      <alignment vertical="top"/>
    </xf>
    <xf numFmtId="0" fontId="17" fillId="0" borderId="34" xfId="0" applyFont="1" applyBorder="1" applyAlignment="1" applyProtection="1">
      <alignment vertical="top" wrapText="1"/>
    </xf>
    <xf numFmtId="44" fontId="16" fillId="0" borderId="110" xfId="1" applyFont="1" applyBorder="1" applyAlignment="1" applyProtection="1">
      <alignment horizontal="left" vertical="top"/>
    </xf>
    <xf numFmtId="0" fontId="16" fillId="0" borderId="31" xfId="0" applyFont="1" applyBorder="1" applyAlignment="1" applyProtection="1">
      <alignment horizontal="left" vertical="top"/>
    </xf>
    <xf numFmtId="0" fontId="16" fillId="0" borderId="34" xfId="0" applyFont="1" applyBorder="1" applyAlignment="1" applyProtection="1">
      <alignment vertical="top" wrapText="1"/>
    </xf>
    <xf numFmtId="0" fontId="16" fillId="0" borderId="110" xfId="0" applyFont="1" applyBorder="1" applyAlignment="1" applyProtection="1">
      <alignment vertical="top" wrapText="1"/>
    </xf>
    <xf numFmtId="0" fontId="16" fillId="0" borderId="4" xfId="0" applyFont="1" applyBorder="1" applyAlignment="1" applyProtection="1">
      <alignment horizontal="left" vertical="top" wrapText="1"/>
    </xf>
    <xf numFmtId="0" fontId="16" fillId="0" borderId="31" xfId="0" applyFont="1" applyBorder="1" applyAlignment="1" applyProtection="1">
      <alignment horizontal="left" vertical="top" wrapText="1"/>
    </xf>
    <xf numFmtId="0" fontId="0" fillId="0" borderId="110" xfId="0" applyBorder="1" applyAlignment="1" applyProtection="1">
      <alignment vertical="top"/>
    </xf>
    <xf numFmtId="0" fontId="16" fillId="0" borderId="31" xfId="0" applyFont="1" applyBorder="1" applyAlignment="1" applyProtection="1">
      <alignment vertical="top" wrapText="1"/>
    </xf>
    <xf numFmtId="0" fontId="21" fillId="0" borderId="34" xfId="0" applyFont="1" applyBorder="1" applyAlignment="1" applyProtection="1">
      <alignment vertical="top"/>
    </xf>
    <xf numFmtId="0" fontId="21" fillId="0" borderId="31" xfId="0" applyFont="1" applyBorder="1" applyAlignment="1" applyProtection="1">
      <alignment vertical="top"/>
    </xf>
    <xf numFmtId="0" fontId="16" fillId="0" borderId="38" xfId="0" applyFont="1" applyFill="1" applyBorder="1" applyAlignment="1" applyProtection="1">
      <alignment vertical="top" wrapText="1"/>
    </xf>
    <xf numFmtId="44" fontId="0" fillId="4" borderId="15" xfId="1" applyFont="1" applyFill="1" applyBorder="1" applyAlignment="1" applyProtection="1">
      <alignment vertical="top"/>
    </xf>
    <xf numFmtId="44" fontId="0" fillId="12" borderId="15" xfId="0" applyNumberFormat="1" applyFill="1" applyBorder="1" applyAlignment="1" applyProtection="1">
      <alignment vertical="top"/>
    </xf>
    <xf numFmtId="44" fontId="0" fillId="12" borderId="15" xfId="1" applyFont="1" applyFill="1" applyBorder="1" applyAlignment="1" applyProtection="1">
      <alignment vertical="top"/>
    </xf>
    <xf numFmtId="44" fontId="0" fillId="12" borderId="16" xfId="0" applyNumberFormat="1" applyFill="1" applyBorder="1" applyAlignment="1" applyProtection="1">
      <alignment vertical="top"/>
    </xf>
    <xf numFmtId="44" fontId="0" fillId="4" borderId="10" xfId="1" applyFont="1" applyFill="1" applyBorder="1" applyAlignment="1" applyProtection="1">
      <alignment vertical="top"/>
    </xf>
    <xf numFmtId="44" fontId="0" fillId="12" borderId="10" xfId="0" applyNumberFormat="1" applyFill="1" applyBorder="1" applyAlignment="1" applyProtection="1">
      <alignment vertical="top"/>
    </xf>
    <xf numFmtId="44" fontId="0" fillId="12" borderId="10" xfId="1" applyFont="1" applyFill="1" applyBorder="1" applyAlignment="1" applyProtection="1">
      <alignment vertical="top"/>
    </xf>
    <xf numFmtId="44" fontId="0" fillId="12" borderId="43" xfId="0" applyNumberFormat="1" applyFill="1" applyBorder="1" applyAlignment="1" applyProtection="1">
      <alignment vertical="top"/>
    </xf>
    <xf numFmtId="44" fontId="0" fillId="4" borderId="1" xfId="1" applyFont="1" applyFill="1" applyBorder="1" applyAlignment="1" applyProtection="1">
      <alignment vertical="top"/>
    </xf>
    <xf numFmtId="44" fontId="0" fillId="12" borderId="1" xfId="0" applyNumberFormat="1" applyFill="1" applyBorder="1" applyAlignment="1" applyProtection="1">
      <alignment vertical="top"/>
    </xf>
    <xf numFmtId="44" fontId="0" fillId="12" borderId="1" xfId="1" applyFont="1" applyFill="1" applyBorder="1" applyAlignment="1" applyProtection="1">
      <alignment vertical="top"/>
    </xf>
    <xf numFmtId="44" fontId="0" fillId="12" borderId="20" xfId="0" applyNumberFormat="1" applyFill="1" applyBorder="1" applyAlignment="1" applyProtection="1">
      <alignment vertical="top"/>
    </xf>
    <xf numFmtId="44" fontId="0" fillId="4" borderId="3" xfId="1" applyFont="1" applyFill="1" applyBorder="1" applyAlignment="1" applyProtection="1">
      <alignment vertical="top"/>
    </xf>
    <xf numFmtId="44" fontId="0" fillId="12" borderId="3" xfId="0" applyNumberFormat="1" applyFill="1" applyBorder="1" applyAlignment="1" applyProtection="1">
      <alignment vertical="top"/>
    </xf>
    <xf numFmtId="44" fontId="0" fillId="12" borderId="3" xfId="1" applyFont="1" applyFill="1" applyBorder="1" applyAlignment="1" applyProtection="1">
      <alignment vertical="top"/>
    </xf>
    <xf numFmtId="44" fontId="0" fillId="12" borderId="27" xfId="0" applyNumberFormat="1" applyFill="1" applyBorder="1" applyAlignment="1" applyProtection="1">
      <alignment vertical="top"/>
    </xf>
    <xf numFmtId="0" fontId="0" fillId="0" borderId="12" xfId="0" applyFill="1" applyBorder="1" applyAlignment="1" applyProtection="1">
      <alignment vertical="top"/>
    </xf>
    <xf numFmtId="0" fontId="0" fillId="0" borderId="7" xfId="0" applyFill="1" applyBorder="1" applyAlignment="1" applyProtection="1">
      <alignment vertical="top"/>
    </xf>
    <xf numFmtId="44" fontId="0" fillId="0" borderId="7" xfId="1" applyFont="1" applyFill="1" applyBorder="1" applyAlignment="1" applyProtection="1">
      <alignment vertical="top"/>
    </xf>
    <xf numFmtId="44" fontId="0" fillId="0" borderId="7" xfId="0" applyNumberFormat="1" applyFill="1" applyBorder="1" applyAlignment="1" applyProtection="1">
      <alignment vertical="top"/>
    </xf>
    <xf numFmtId="44" fontId="0" fillId="0" borderId="7" xfId="1" applyFont="1" applyFill="1" applyBorder="1" applyAlignment="1" applyProtection="1">
      <alignment horizontal="right" vertical="top"/>
    </xf>
    <xf numFmtId="44" fontId="0" fillId="12" borderId="2" xfId="0" applyNumberFormat="1" applyFill="1" applyBorder="1" applyAlignment="1" applyProtection="1">
      <alignment vertical="top"/>
    </xf>
    <xf numFmtId="0" fontId="0" fillId="0" borderId="7" xfId="0" applyBorder="1" applyProtection="1"/>
    <xf numFmtId="0" fontId="0" fillId="0" borderId="13" xfId="0" applyBorder="1" applyProtection="1"/>
    <xf numFmtId="0" fontId="1" fillId="0" borderId="33" xfId="0" applyFont="1" applyBorder="1" applyAlignment="1" applyProtection="1">
      <alignment vertical="top"/>
    </xf>
    <xf numFmtId="0" fontId="1" fillId="0" borderId="34" xfId="0" applyFont="1" applyBorder="1" applyAlignment="1" applyProtection="1">
      <alignment vertical="top"/>
    </xf>
    <xf numFmtId="0" fontId="0" fillId="0" borderId="4" xfId="0" applyBorder="1" applyProtection="1"/>
    <xf numFmtId="0" fontId="1" fillId="0" borderId="31" xfId="0" applyFont="1" applyBorder="1" applyAlignment="1" applyProtection="1">
      <alignment vertical="top"/>
    </xf>
    <xf numFmtId="0" fontId="1" fillId="0" borderId="38" xfId="0" applyFont="1" applyBorder="1" applyAlignment="1" applyProtection="1">
      <alignment vertical="top"/>
    </xf>
    <xf numFmtId="0" fontId="0" fillId="0" borderId="32" xfId="0" applyBorder="1" applyAlignment="1" applyProtection="1">
      <alignment vertical="top"/>
    </xf>
    <xf numFmtId="0" fontId="1" fillId="0" borderId="25" xfId="0" applyFont="1" applyFill="1" applyBorder="1" applyAlignment="1" applyProtection="1">
      <alignment vertical="top"/>
    </xf>
    <xf numFmtId="0" fontId="1" fillId="0" borderId="25" xfId="0" applyFont="1" applyBorder="1" applyProtection="1"/>
    <xf numFmtId="0" fontId="1" fillId="0" borderId="25" xfId="0" applyFont="1" applyBorder="1" applyAlignment="1" applyProtection="1">
      <alignment vertical="top"/>
    </xf>
    <xf numFmtId="0" fontId="1" fillId="0" borderId="25" xfId="0" applyFont="1" applyBorder="1" applyAlignment="1" applyProtection="1">
      <alignment horizontal="center" vertical="top" wrapText="1"/>
    </xf>
    <xf numFmtId="0" fontId="1" fillId="0" borderId="28" xfId="0" applyFont="1" applyBorder="1" applyAlignment="1" applyProtection="1">
      <alignment horizontal="center" vertical="top" wrapText="1"/>
    </xf>
    <xf numFmtId="0" fontId="0" fillId="0" borderId="32" xfId="0" applyBorder="1" applyProtection="1"/>
    <xf numFmtId="0" fontId="0" fillId="0" borderId="25" xfId="0" applyBorder="1" applyProtection="1"/>
    <xf numFmtId="44" fontId="16" fillId="0" borderId="25" xfId="1" applyFont="1" applyBorder="1" applyAlignment="1" applyProtection="1">
      <alignment vertical="top"/>
    </xf>
    <xf numFmtId="0" fontId="0" fillId="0" borderId="28" xfId="0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top" wrapText="1"/>
    </xf>
    <xf numFmtId="0" fontId="1" fillId="0" borderId="29" xfId="0" applyFont="1" applyBorder="1" applyAlignment="1" applyProtection="1">
      <alignment horizontal="center" vertical="top" wrapText="1"/>
    </xf>
    <xf numFmtId="0" fontId="0" fillId="0" borderId="33" xfId="0" applyBorder="1" applyProtection="1"/>
    <xf numFmtId="44" fontId="16" fillId="0" borderId="0" xfId="1" applyFont="1" applyFill="1" applyBorder="1" applyAlignment="1" applyProtection="1">
      <alignment vertical="top"/>
    </xf>
    <xf numFmtId="0" fontId="16" fillId="0" borderId="4" xfId="0" applyFont="1" applyBorder="1" applyAlignment="1" applyProtection="1">
      <alignment vertical="top"/>
    </xf>
    <xf numFmtId="44" fontId="16" fillId="0" borderId="4" xfId="1" applyFont="1" applyBorder="1" applyAlignment="1" applyProtection="1">
      <alignment horizontal="left" vertical="top"/>
    </xf>
    <xf numFmtId="44" fontId="7" fillId="4" borderId="8" xfId="1" applyFont="1" applyFill="1" applyBorder="1" applyAlignment="1" applyProtection="1">
      <alignment horizontal="center" vertical="center"/>
    </xf>
    <xf numFmtId="44" fontId="0" fillId="4" borderId="8" xfId="1" applyFont="1" applyFill="1" applyBorder="1" applyAlignment="1" applyProtection="1">
      <alignment vertical="top"/>
    </xf>
    <xf numFmtId="44" fontId="0" fillId="12" borderId="8" xfId="0" applyNumberFormat="1" applyFill="1" applyBorder="1" applyAlignment="1" applyProtection="1">
      <alignment vertical="top"/>
    </xf>
    <xf numFmtId="44" fontId="0" fillId="12" borderId="8" xfId="1" applyFont="1" applyFill="1" applyBorder="1" applyAlignment="1" applyProtection="1">
      <alignment vertical="top"/>
    </xf>
    <xf numFmtId="44" fontId="1" fillId="4" borderId="28" xfId="1" applyFont="1" applyFill="1" applyBorder="1" applyAlignment="1" applyProtection="1">
      <alignment horizontal="center" vertical="center"/>
    </xf>
    <xf numFmtId="44" fontId="0" fillId="12" borderId="42" xfId="0" applyNumberFormat="1" applyFill="1" applyBorder="1" applyAlignment="1" applyProtection="1">
      <alignment vertical="top"/>
    </xf>
    <xf numFmtId="44" fontId="7" fillId="4" borderId="1" xfId="1" applyFont="1" applyFill="1" applyBorder="1" applyAlignment="1" applyProtection="1">
      <alignment horizontal="center" vertical="center"/>
    </xf>
    <xf numFmtId="44" fontId="1" fillId="4" borderId="1" xfId="1" applyFont="1" applyFill="1" applyBorder="1" applyAlignment="1" applyProtection="1">
      <alignment horizontal="center" vertical="center"/>
    </xf>
    <xf numFmtId="44" fontId="7" fillId="4" borderId="5" xfId="1" applyFont="1" applyFill="1" applyBorder="1" applyAlignment="1" applyProtection="1">
      <alignment horizontal="center" vertical="center"/>
    </xf>
    <xf numFmtId="44" fontId="0" fillId="4" borderId="5" xfId="1" applyFont="1" applyFill="1" applyBorder="1" applyAlignment="1" applyProtection="1">
      <alignment vertical="top"/>
    </xf>
    <xf numFmtId="44" fontId="0" fillId="12" borderId="5" xfId="0" applyNumberFormat="1" applyFill="1" applyBorder="1" applyAlignment="1" applyProtection="1">
      <alignment vertical="top"/>
    </xf>
    <xf numFmtId="44" fontId="0" fillId="12" borderId="5" xfId="1" applyFont="1" applyFill="1" applyBorder="1" applyAlignment="1" applyProtection="1">
      <alignment vertical="top"/>
    </xf>
    <xf numFmtId="44" fontId="1" fillId="4" borderId="5" xfId="1" applyFont="1" applyFill="1" applyBorder="1" applyAlignment="1" applyProtection="1">
      <alignment horizontal="center" vertical="center"/>
    </xf>
    <xf numFmtId="44" fontId="0" fillId="12" borderId="19" xfId="0" applyNumberFormat="1" applyFill="1" applyBorder="1" applyAlignment="1" applyProtection="1">
      <alignment vertical="top"/>
    </xf>
    <xf numFmtId="0" fontId="6" fillId="0" borderId="68" xfId="0" applyFont="1" applyBorder="1" applyProtection="1"/>
    <xf numFmtId="0" fontId="0" fillId="0" borderId="68" xfId="0" applyFont="1" applyBorder="1" applyProtection="1"/>
    <xf numFmtId="0" fontId="0" fillId="0" borderId="62" xfId="0" applyBorder="1" applyAlignment="1" applyProtection="1">
      <alignment vertical="top"/>
    </xf>
    <xf numFmtId="0" fontId="0" fillId="0" borderId="61" xfId="0" applyBorder="1" applyAlignment="1" applyProtection="1">
      <alignment vertical="top"/>
    </xf>
    <xf numFmtId="0" fontId="0" fillId="4" borderId="113" xfId="0" applyFill="1" applyBorder="1" applyAlignment="1" applyProtection="1"/>
    <xf numFmtId="0" fontId="0" fillId="4" borderId="114" xfId="0" applyFill="1" applyBorder="1" applyAlignment="1" applyProtection="1"/>
    <xf numFmtId="0" fontId="0" fillId="4" borderId="115" xfId="0" applyFill="1" applyBorder="1" applyAlignment="1" applyProtection="1"/>
    <xf numFmtId="0" fontId="0" fillId="0" borderId="90" xfId="0" applyBorder="1" applyProtection="1"/>
    <xf numFmtId="0" fontId="0" fillId="0" borderId="91" xfId="0" applyBorder="1" applyProtection="1"/>
    <xf numFmtId="0" fontId="0" fillId="0" borderId="80" xfId="0" applyBorder="1" applyProtection="1"/>
    <xf numFmtId="0" fontId="0" fillId="0" borderId="116" xfId="0" applyBorder="1"/>
    <xf numFmtId="0" fontId="0" fillId="0" borderId="117" xfId="0" applyBorder="1"/>
    <xf numFmtId="0" fontId="13" fillId="0" borderId="31" xfId="0" applyFont="1" applyBorder="1"/>
    <xf numFmtId="0" fontId="20" fillId="0" borderId="31" xfId="0" applyFont="1" applyBorder="1"/>
    <xf numFmtId="0" fontId="1" fillId="0" borderId="118" xfId="0" applyFont="1" applyBorder="1"/>
    <xf numFmtId="0" fontId="1" fillId="0" borderId="119" xfId="0" applyFont="1" applyBorder="1"/>
    <xf numFmtId="44" fontId="16" fillId="0" borderId="59" xfId="0" applyNumberFormat="1" applyFont="1" applyFill="1" applyBorder="1"/>
    <xf numFmtId="44" fontId="18" fillId="0" borderId="59" xfId="0" applyNumberFormat="1" applyFont="1" applyFill="1" applyBorder="1"/>
    <xf numFmtId="44" fontId="1" fillId="0" borderId="122" xfId="0" applyNumberFormat="1" applyFont="1" applyFill="1" applyBorder="1"/>
    <xf numFmtId="44" fontId="1" fillId="0" borderId="121" xfId="0" applyNumberFormat="1" applyFont="1" applyFill="1" applyBorder="1"/>
    <xf numFmtId="44" fontId="1" fillId="0" borderId="124" xfId="0" applyNumberFormat="1" applyFont="1" applyFill="1" applyBorder="1"/>
    <xf numFmtId="44" fontId="1" fillId="0" borderId="123" xfId="0" applyNumberFormat="1" applyFont="1" applyFill="1" applyBorder="1"/>
    <xf numFmtId="0" fontId="0" fillId="0" borderId="29" xfId="0" applyBorder="1" applyProtection="1"/>
    <xf numFmtId="10" fontId="16" fillId="0" borderId="59" xfId="0" applyNumberFormat="1" applyFont="1" applyFill="1" applyBorder="1"/>
    <xf numFmtId="0" fontId="1" fillId="0" borderId="110" xfId="0" applyFont="1" applyBorder="1"/>
    <xf numFmtId="0" fontId="0" fillId="4" borderId="126" xfId="0" applyNumberFormat="1" applyFont="1" applyFill="1" applyBorder="1"/>
    <xf numFmtId="0" fontId="0" fillId="4" borderId="19" xfId="0" applyNumberFormat="1" applyFont="1" applyFill="1" applyBorder="1"/>
    <xf numFmtId="44" fontId="1" fillId="0" borderId="117" xfId="0" applyNumberFormat="1" applyFont="1" applyFill="1" applyBorder="1"/>
    <xf numFmtId="44" fontId="0" fillId="0" borderId="4" xfId="0" applyNumberFormat="1" applyFont="1" applyFill="1" applyBorder="1"/>
    <xf numFmtId="44" fontId="0" fillId="4" borderId="128" xfId="0" applyNumberFormat="1" applyFont="1" applyFill="1" applyBorder="1"/>
    <xf numFmtId="44" fontId="0" fillId="4" borderId="130" xfId="0" applyNumberFormat="1" applyFont="1" applyFill="1" applyBorder="1"/>
    <xf numFmtId="44" fontId="0" fillId="4" borderId="129" xfId="0" applyNumberFormat="1" applyFont="1" applyFill="1" applyBorder="1"/>
    <xf numFmtId="44" fontId="0" fillId="4" borderId="131" xfId="0" applyNumberFormat="1" applyFont="1" applyFill="1" applyBorder="1"/>
    <xf numFmtId="44" fontId="0" fillId="4" borderId="133" xfId="0" applyNumberFormat="1" applyFont="1" applyFill="1" applyBorder="1"/>
    <xf numFmtId="44" fontId="0" fillId="4" borderId="132" xfId="0" applyNumberFormat="1" applyFont="1" applyFill="1" applyBorder="1"/>
    <xf numFmtId="44" fontId="0" fillId="4" borderId="134" xfId="0" applyNumberFormat="1" applyFont="1" applyFill="1" applyBorder="1"/>
    <xf numFmtId="44" fontId="0" fillId="4" borderId="135" xfId="0" applyNumberFormat="1" applyFont="1" applyFill="1" applyBorder="1"/>
    <xf numFmtId="44" fontId="1" fillId="4" borderId="135" xfId="0" applyNumberFormat="1" applyFont="1" applyFill="1" applyBorder="1"/>
    <xf numFmtId="44" fontId="1" fillId="4" borderId="130" xfId="0" applyNumberFormat="1" applyFont="1" applyFill="1" applyBorder="1"/>
    <xf numFmtId="44" fontId="1" fillId="4" borderId="129" xfId="0" applyNumberFormat="1" applyFont="1" applyFill="1" applyBorder="1"/>
    <xf numFmtId="169" fontId="0" fillId="0" borderId="63" xfId="0" applyNumberFormat="1" applyFill="1" applyBorder="1"/>
    <xf numFmtId="44" fontId="0" fillId="4" borderId="11" xfId="1" applyFont="1" applyFill="1" applyBorder="1" applyAlignment="1"/>
    <xf numFmtId="44" fontId="0" fillId="4" borderId="24" xfId="0" applyNumberFormat="1" applyFill="1" applyBorder="1"/>
    <xf numFmtId="44" fontId="0" fillId="4" borderId="24" xfId="1" applyFont="1" applyFill="1" applyBorder="1"/>
    <xf numFmtId="0" fontId="0" fillId="8" borderId="42" xfId="0" applyNumberFormat="1" applyFont="1" applyFill="1" applyBorder="1" applyProtection="1">
      <protection locked="0"/>
    </xf>
    <xf numFmtId="10" fontId="0" fillId="4" borderId="20" xfId="0" applyNumberFormat="1" applyFill="1" applyBorder="1"/>
    <xf numFmtId="0" fontId="0" fillId="8" borderId="44" xfId="0" applyNumberFormat="1" applyFont="1" applyFill="1" applyBorder="1" applyProtection="1">
      <protection locked="0"/>
    </xf>
    <xf numFmtId="10" fontId="0" fillId="4" borderId="40" xfId="0" applyNumberFormat="1" applyFill="1" applyBorder="1"/>
    <xf numFmtId="0" fontId="20" fillId="0" borderId="84" xfId="0" applyFont="1" applyBorder="1"/>
    <xf numFmtId="0" fontId="13" fillId="0" borderId="81" xfId="0" applyFont="1" applyFill="1" applyBorder="1" applyAlignment="1">
      <alignment vertical="top"/>
    </xf>
    <xf numFmtId="0" fontId="13" fillId="0" borderId="34" xfId="0" applyFont="1" applyFill="1" applyBorder="1" applyAlignment="1">
      <alignment vertical="top"/>
    </xf>
    <xf numFmtId="0" fontId="16" fillId="8" borderId="10" xfId="0" applyFont="1" applyFill="1" applyBorder="1" applyProtection="1">
      <protection locked="0"/>
    </xf>
    <xf numFmtId="0" fontId="1" fillId="8" borderId="14" xfId="0" applyFont="1" applyFill="1" applyBorder="1" applyAlignment="1" applyProtection="1">
      <alignment vertical="center"/>
      <protection locked="0"/>
    </xf>
    <xf numFmtId="0" fontId="1" fillId="8" borderId="15" xfId="0" applyFont="1" applyFill="1" applyBorder="1" applyAlignment="1" applyProtection="1">
      <alignment vertical="center"/>
      <protection locked="0"/>
    </xf>
    <xf numFmtId="16" fontId="17" fillId="14" borderId="20" xfId="0" applyNumberFormat="1" applyFont="1" applyFill="1" applyBorder="1"/>
    <xf numFmtId="0" fontId="13" fillId="0" borderId="4" xfId="0" applyFont="1" applyFill="1" applyBorder="1" applyAlignment="1">
      <alignment vertical="top"/>
    </xf>
    <xf numFmtId="44" fontId="0" fillId="0" borderId="63" xfId="0" applyNumberFormat="1" applyFill="1" applyBorder="1"/>
    <xf numFmtId="44" fontId="0" fillId="0" borderId="75" xfId="0" applyNumberFormat="1" applyFill="1" applyBorder="1"/>
    <xf numFmtId="44" fontId="7" fillId="5" borderId="1" xfId="1" applyFont="1" applyFill="1" applyBorder="1" applyAlignment="1">
      <alignment vertical="top"/>
    </xf>
    <xf numFmtId="44" fontId="0" fillId="4" borderId="137" xfId="1" applyFont="1" applyFill="1" applyBorder="1" applyAlignment="1"/>
    <xf numFmtId="169" fontId="0" fillId="4" borderId="63" xfId="0" applyNumberFormat="1" applyFill="1" applyBorder="1"/>
    <xf numFmtId="0" fontId="0" fillId="0" borderId="136" xfId="0" quotePrefix="1" applyFill="1" applyBorder="1" applyAlignment="1" applyProtection="1">
      <protection locked="0"/>
    </xf>
    <xf numFmtId="0" fontId="0" fillId="8" borderId="15" xfId="0" applyFill="1" applyBorder="1" applyAlignment="1" applyProtection="1">
      <protection locked="0"/>
    </xf>
    <xf numFmtId="44" fontId="0" fillId="4" borderId="102" xfId="1" applyFont="1" applyFill="1" applyBorder="1" applyAlignment="1"/>
    <xf numFmtId="44" fontId="0" fillId="4" borderId="5" xfId="1" applyFont="1" applyFill="1" applyBorder="1" applyAlignment="1"/>
    <xf numFmtId="44" fontId="0" fillId="4" borderId="138" xfId="0" applyNumberFormat="1" applyFont="1" applyFill="1" applyBorder="1"/>
    <xf numFmtId="44" fontId="1" fillId="4" borderId="138" xfId="0" applyNumberFormat="1" applyFont="1" applyFill="1" applyBorder="1"/>
    <xf numFmtId="0" fontId="1" fillId="0" borderId="139" xfId="0" applyFont="1" applyBorder="1"/>
    <xf numFmtId="0" fontId="1" fillId="0" borderId="19" xfId="0" applyFont="1" applyBorder="1"/>
    <xf numFmtId="0" fontId="0" fillId="8" borderId="40" xfId="0" applyNumberFormat="1" applyFont="1" applyFill="1" applyBorder="1" applyProtection="1">
      <protection locked="0"/>
    </xf>
    <xf numFmtId="0" fontId="0" fillId="0" borderId="0" xfId="0" applyFont="1" applyAlignment="1">
      <alignment vertical="top"/>
    </xf>
    <xf numFmtId="6" fontId="0" fillId="0" borderId="0" xfId="0" applyNumberFormat="1" applyBorder="1"/>
    <xf numFmtId="0" fontId="30" fillId="0" borderId="0" xfId="0" applyFont="1"/>
    <xf numFmtId="0" fontId="0" fillId="0" borderId="0" xfId="0" quotePrefix="1" applyFont="1" applyFill="1" applyBorder="1"/>
    <xf numFmtId="0" fontId="4" fillId="0" borderId="0" xfId="0" applyFont="1"/>
    <xf numFmtId="10" fontId="0" fillId="0" borderId="25" xfId="0" applyNumberFormat="1" applyBorder="1"/>
    <xf numFmtId="10" fontId="0" fillId="0" borderId="28" xfId="0" applyNumberFormat="1" applyBorder="1"/>
    <xf numFmtId="44" fontId="0" fillId="0" borderId="29" xfId="1" applyFont="1" applyBorder="1"/>
    <xf numFmtId="6" fontId="0" fillId="0" borderId="4" xfId="0" applyNumberFormat="1" applyBorder="1"/>
    <xf numFmtId="10" fontId="0" fillId="0" borderId="31" xfId="0" applyNumberFormat="1" applyBorder="1"/>
    <xf numFmtId="10" fontId="4" fillId="0" borderId="0" xfId="0" applyNumberFormat="1" applyFont="1" applyBorder="1"/>
    <xf numFmtId="0" fontId="11" fillId="0" borderId="0" xfId="0" applyFont="1" applyBorder="1" applyAlignment="1">
      <alignment vertical="top"/>
    </xf>
    <xf numFmtId="0" fontId="11" fillId="0" borderId="0" xfId="0" applyNumberFormat="1" applyFont="1" applyBorder="1" applyAlignment="1">
      <alignment vertical="top"/>
    </xf>
    <xf numFmtId="44" fontId="31" fillId="4" borderId="0" xfId="1" applyFont="1" applyFill="1" applyBorder="1" applyAlignment="1">
      <alignment vertical="top"/>
    </xf>
    <xf numFmtId="0" fontId="31" fillId="0" borderId="0" xfId="2" applyNumberFormat="1" applyFont="1" applyFill="1" applyBorder="1" applyAlignment="1">
      <alignment vertical="top"/>
    </xf>
    <xf numFmtId="0" fontId="31" fillId="0" borderId="0" xfId="1" applyNumberFormat="1" applyFont="1" applyFill="1" applyBorder="1" applyAlignment="1">
      <alignment vertical="top"/>
    </xf>
    <xf numFmtId="44" fontId="16" fillId="4" borderId="0" xfId="1" applyFont="1" applyFill="1" applyBorder="1"/>
    <xf numFmtId="0" fontId="0" fillId="8" borderId="0" xfId="0" applyFill="1"/>
    <xf numFmtId="0" fontId="0" fillId="8" borderId="29" xfId="0" applyFill="1" applyBorder="1" applyAlignment="1" applyProtection="1">
      <alignment vertical="top"/>
      <protection locked="0"/>
    </xf>
    <xf numFmtId="0" fontId="11" fillId="0" borderId="29" xfId="0" applyNumberFormat="1" applyFont="1" applyBorder="1" applyAlignment="1">
      <alignment vertical="top"/>
    </xf>
    <xf numFmtId="0" fontId="11" fillId="0" borderId="29" xfId="0" applyFont="1" applyBorder="1" applyAlignment="1">
      <alignment vertical="top"/>
    </xf>
    <xf numFmtId="44" fontId="7" fillId="4" borderId="29" xfId="1" applyFont="1" applyFill="1" applyBorder="1"/>
    <xf numFmtId="170" fontId="7" fillId="4" borderId="29" xfId="1" applyNumberFormat="1" applyFont="1" applyFill="1" applyBorder="1"/>
    <xf numFmtId="44" fontId="1" fillId="4" borderId="29" xfId="1" applyFont="1" applyFill="1" applyBorder="1"/>
    <xf numFmtId="10" fontId="31" fillId="4" borderId="33" xfId="2" applyNumberFormat="1" applyFont="1" applyFill="1" applyBorder="1" applyAlignment="1">
      <alignment vertical="top"/>
    </xf>
    <xf numFmtId="44" fontId="31" fillId="4" borderId="33" xfId="1" applyFont="1" applyFill="1" applyBorder="1" applyAlignment="1">
      <alignment vertical="top"/>
    </xf>
    <xf numFmtId="10" fontId="16" fillId="4" borderId="33" xfId="0" applyNumberFormat="1" applyFont="1" applyFill="1" applyBorder="1"/>
    <xf numFmtId="44" fontId="1" fillId="4" borderId="29" xfId="0" applyNumberFormat="1" applyFont="1" applyFill="1" applyBorder="1"/>
    <xf numFmtId="44" fontId="0" fillId="4" borderId="29" xfId="0" applyNumberFormat="1" applyFill="1" applyBorder="1"/>
    <xf numFmtId="0" fontId="0" fillId="8" borderId="25" xfId="0" applyNumberFormat="1" applyFill="1" applyBorder="1" applyAlignment="1" applyProtection="1">
      <alignment vertical="top"/>
      <protection locked="0"/>
    </xf>
    <xf numFmtId="0" fontId="0" fillId="8" borderId="28" xfId="0" applyNumberFormat="1" applyFill="1" applyBorder="1" applyAlignment="1" applyProtection="1">
      <alignment vertical="top"/>
      <protection locked="0"/>
    </xf>
    <xf numFmtId="44" fontId="7" fillId="4" borderId="0" xfId="1" applyFont="1" applyFill="1" applyBorder="1"/>
    <xf numFmtId="170" fontId="7" fillId="4" borderId="0" xfId="1" applyNumberFormat="1" applyFont="1" applyFill="1" applyBorder="1"/>
    <xf numFmtId="44" fontId="1" fillId="4" borderId="0" xfId="1" applyFont="1" applyFill="1" applyBorder="1"/>
    <xf numFmtId="44" fontId="1" fillId="4" borderId="0" xfId="0" applyNumberFormat="1" applyFont="1" applyFill="1" applyBorder="1"/>
    <xf numFmtId="44" fontId="0" fillId="4" borderId="0" xfId="0" applyNumberFormat="1" applyFill="1" applyBorder="1"/>
    <xf numFmtId="0" fontId="11" fillId="0" borderId="37" xfId="0" applyFont="1" applyBorder="1" applyAlignment="1">
      <alignment vertical="top"/>
    </xf>
    <xf numFmtId="0" fontId="1" fillId="0" borderId="36" xfId="0" applyFont="1" applyBorder="1"/>
    <xf numFmtId="16" fontId="1" fillId="8" borderId="36" xfId="0" applyNumberFormat="1" applyFont="1" applyFill="1" applyBorder="1" applyProtection="1">
      <protection locked="0"/>
    </xf>
    <xf numFmtId="44" fontId="0" fillId="4" borderId="37" xfId="1" applyFont="1" applyFill="1" applyBorder="1" applyAlignment="1"/>
    <xf numFmtId="0" fontId="0" fillId="4" borderId="37" xfId="0" applyFill="1" applyBorder="1"/>
    <xf numFmtId="44" fontId="1" fillId="4" borderId="37" xfId="1" applyFont="1" applyFill="1" applyBorder="1"/>
    <xf numFmtId="0" fontId="0" fillId="4" borderId="36" xfId="0" applyFill="1" applyBorder="1"/>
    <xf numFmtId="44" fontId="1" fillId="4" borderId="7" xfId="0" applyNumberFormat="1" applyFont="1" applyFill="1" applyBorder="1"/>
    <xf numFmtId="44" fontId="1" fillId="4" borderId="2" xfId="0" applyNumberFormat="1" applyFont="1" applyFill="1" applyBorder="1"/>
    <xf numFmtId="44" fontId="1" fillId="4" borderId="28" xfId="0" applyNumberFormat="1" applyFont="1" applyFill="1" applyBorder="1"/>
    <xf numFmtId="9" fontId="0" fillId="0" borderId="0" xfId="0" applyNumberFormat="1" applyBorder="1"/>
    <xf numFmtId="0" fontId="0" fillId="0" borderId="12" xfId="0" applyFill="1" applyBorder="1"/>
    <xf numFmtId="9" fontId="0" fillId="5" borderId="0" xfId="0" applyNumberFormat="1" applyFill="1" applyBorder="1"/>
    <xf numFmtId="44" fontId="1" fillId="4" borderId="13" xfId="0" applyNumberFormat="1" applyFont="1" applyFill="1" applyBorder="1"/>
    <xf numFmtId="0" fontId="0" fillId="0" borderId="12" xfId="0" applyFont="1" applyBorder="1"/>
    <xf numFmtId="0" fontId="0" fillId="0" borderId="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4" borderId="13" xfId="0" applyFill="1" applyBorder="1"/>
    <xf numFmtId="10" fontId="31" fillId="5" borderId="33" xfId="2" applyNumberFormat="1" applyFont="1" applyFill="1" applyBorder="1" applyAlignment="1">
      <alignment vertical="top"/>
    </xf>
    <xf numFmtId="44" fontId="31" fillId="5" borderId="0" xfId="1" applyFont="1" applyFill="1" applyBorder="1" applyAlignment="1">
      <alignment vertical="top"/>
    </xf>
    <xf numFmtId="44" fontId="31" fillId="5" borderId="33" xfId="1" applyFont="1" applyFill="1" applyBorder="1" applyAlignment="1">
      <alignment vertical="top"/>
    </xf>
    <xf numFmtId="10" fontId="16" fillId="5" borderId="33" xfId="0" applyNumberFormat="1" applyFont="1" applyFill="1" applyBorder="1"/>
    <xf numFmtId="44" fontId="16" fillId="5" borderId="0" xfId="1" applyFont="1" applyFill="1" applyBorder="1"/>
    <xf numFmtId="0" fontId="0" fillId="0" borderId="69" xfId="0" applyBorder="1"/>
    <xf numFmtId="0" fontId="1" fillId="0" borderId="68" xfId="0" applyFont="1" applyBorder="1"/>
    <xf numFmtId="0" fontId="0" fillId="0" borderId="62" xfId="0" applyBorder="1"/>
    <xf numFmtId="0" fontId="0" fillId="0" borderId="60" xfId="0" applyBorder="1"/>
    <xf numFmtId="44" fontId="0" fillId="8" borderId="29" xfId="1" applyFont="1" applyFill="1" applyBorder="1" applyProtection="1">
      <protection locked="0"/>
    </xf>
    <xf numFmtId="0" fontId="16" fillId="8" borderId="0" xfId="0" applyNumberFormat="1" applyFont="1" applyFill="1" applyBorder="1" applyProtection="1">
      <protection locked="0"/>
    </xf>
    <xf numFmtId="0" fontId="0" fillId="8" borderId="37" xfId="0" applyFill="1" applyBorder="1" applyProtection="1">
      <protection locked="0"/>
    </xf>
    <xf numFmtId="0" fontId="0" fillId="8" borderId="31" xfId="0" applyFill="1" applyBorder="1" applyProtection="1">
      <protection locked="0"/>
    </xf>
    <xf numFmtId="10" fontId="7" fillId="8" borderId="29" xfId="2" applyNumberFormat="1" applyFont="1" applyFill="1" applyBorder="1" applyProtection="1">
      <protection locked="0"/>
    </xf>
    <xf numFmtId="0" fontId="0" fillId="8" borderId="4" xfId="0" applyFill="1" applyBorder="1" applyProtection="1">
      <protection locked="0"/>
    </xf>
    <xf numFmtId="10" fontId="7" fillId="8" borderId="0" xfId="2" applyNumberFormat="1" applyFont="1" applyFill="1" applyBorder="1" applyProtection="1">
      <protection locked="0"/>
    </xf>
    <xf numFmtId="0" fontId="0" fillId="0" borderId="0" xfId="0" applyFont="1" applyBorder="1" applyAlignment="1">
      <alignment horizontal="left"/>
    </xf>
    <xf numFmtId="0" fontId="16" fillId="8" borderId="9" xfId="0" applyFont="1" applyFill="1" applyBorder="1"/>
    <xf numFmtId="0" fontId="16" fillId="4" borderId="9" xfId="0" applyFont="1" applyFill="1" applyBorder="1"/>
    <xf numFmtId="0" fontId="16" fillId="5" borderId="9" xfId="0" applyFont="1" applyFill="1" applyBorder="1" applyAlignment="1">
      <alignment horizontal="left"/>
    </xf>
    <xf numFmtId="0" fontId="16" fillId="11" borderId="10" xfId="0" applyFont="1" applyFill="1" applyBorder="1" applyAlignment="1">
      <alignment horizontal="center"/>
    </xf>
    <xf numFmtId="0" fontId="0" fillId="0" borderId="141" xfId="0" applyBorder="1"/>
    <xf numFmtId="0" fontId="16" fillId="5" borderId="142" xfId="0" applyFont="1" applyFill="1" applyBorder="1" applyAlignment="1">
      <alignment horizontal="left"/>
    </xf>
    <xf numFmtId="0" fontId="16" fillId="11" borderId="10" xfId="0" applyFont="1" applyFill="1" applyBorder="1" applyAlignment="1">
      <alignment horizontal="left"/>
    </xf>
    <xf numFmtId="0" fontId="0" fillId="11" borderId="68" xfId="0" applyFill="1" applyBorder="1"/>
    <xf numFmtId="0" fontId="0" fillId="11" borderId="140" xfId="0" applyFill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0" fontId="0" fillId="4" borderId="111" xfId="0" applyFill="1" applyBorder="1" applyAlignment="1">
      <alignment horizontal="left" vertical="top" wrapText="1"/>
    </xf>
    <xf numFmtId="0" fontId="0" fillId="4" borderId="74" xfId="0" applyFill="1" applyBorder="1" applyAlignment="1">
      <alignment horizontal="left" vertical="top" wrapText="1"/>
    </xf>
    <xf numFmtId="0" fontId="0" fillId="4" borderId="83" xfId="0" applyFill="1" applyBorder="1" applyAlignment="1">
      <alignment horizontal="left" vertical="top" wrapText="1"/>
    </xf>
    <xf numFmtId="0" fontId="0" fillId="4" borderId="71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72" xfId="0" applyFill="1" applyBorder="1" applyAlignment="1">
      <alignment horizontal="left" vertical="top" wrapText="1"/>
    </xf>
    <xf numFmtId="0" fontId="0" fillId="4" borderId="70" xfId="0" applyFill="1" applyBorder="1" applyAlignment="1">
      <alignment horizontal="left" vertical="top" wrapText="1"/>
    </xf>
    <xf numFmtId="0" fontId="0" fillId="4" borderId="65" xfId="0" applyFill="1" applyBorder="1" applyAlignment="1">
      <alignment horizontal="left" vertical="top" wrapText="1"/>
    </xf>
    <xf numFmtId="0" fontId="0" fillId="4" borderId="73" xfId="0" applyFill="1" applyBorder="1" applyAlignment="1">
      <alignment horizontal="left" vertical="top" wrapText="1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64" xfId="0" applyFont="1" applyFill="1" applyBorder="1" applyAlignment="1" applyProtection="1">
      <alignment horizontal="center"/>
      <protection locked="0"/>
    </xf>
    <xf numFmtId="0" fontId="1" fillId="8" borderId="6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4" borderId="21" xfId="0" applyNumberFormat="1" applyFill="1" applyBorder="1" applyAlignment="1">
      <alignment horizontal="center"/>
    </xf>
    <xf numFmtId="0" fontId="0" fillId="4" borderId="63" xfId="0" applyNumberFormat="1" applyFill="1" applyBorder="1" applyAlignment="1">
      <alignment horizontal="center"/>
    </xf>
    <xf numFmtId="0" fontId="0" fillId="8" borderId="11" xfId="0" applyFill="1" applyBorder="1" applyAlignment="1" applyProtection="1">
      <alignment horizontal="left"/>
      <protection locked="0"/>
    </xf>
    <xf numFmtId="0" fontId="0" fillId="8" borderId="64" xfId="0" applyFill="1" applyBorder="1" applyAlignment="1" applyProtection="1">
      <alignment horizontal="left"/>
      <protection locked="0"/>
    </xf>
    <xf numFmtId="0" fontId="0" fillId="8" borderId="63" xfId="0" applyFill="1" applyBorder="1" applyAlignment="1" applyProtection="1">
      <alignment horizontal="left"/>
      <protection locked="0"/>
    </xf>
    <xf numFmtId="44" fontId="0" fillId="4" borderId="95" xfId="0" applyNumberFormat="1" applyFont="1" applyFill="1" applyBorder="1" applyAlignment="1"/>
    <xf numFmtId="44" fontId="0" fillId="4" borderId="96" xfId="0" applyNumberFormat="1" applyFont="1" applyFill="1" applyBorder="1" applyAlignment="1"/>
    <xf numFmtId="0" fontId="0" fillId="4" borderId="90" xfId="0" applyFont="1" applyFill="1" applyBorder="1" applyAlignment="1">
      <alignment horizontal="left"/>
    </xf>
    <xf numFmtId="0" fontId="0" fillId="4" borderId="91" xfId="0" applyFont="1" applyFill="1" applyBorder="1" applyAlignment="1">
      <alignment horizontal="left"/>
    </xf>
    <xf numFmtId="0" fontId="0" fillId="4" borderId="80" xfId="0" applyFont="1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0" fontId="0" fillId="4" borderId="64" xfId="0" applyFill="1" applyBorder="1" applyAlignment="1">
      <alignment horizontal="left" wrapText="1"/>
    </xf>
    <xf numFmtId="0" fontId="0" fillId="4" borderId="63" xfId="0" applyFill="1" applyBorder="1" applyAlignment="1">
      <alignment horizontal="left" wrapText="1"/>
    </xf>
    <xf numFmtId="0" fontId="12" fillId="8" borderId="11" xfId="0" applyFont="1" applyFill="1" applyBorder="1" applyAlignment="1" applyProtection="1">
      <alignment horizontal="center"/>
      <protection locked="0"/>
    </xf>
    <xf numFmtId="0" fontId="12" fillId="8" borderId="63" xfId="0" applyFont="1" applyFill="1" applyBorder="1" applyAlignment="1" applyProtection="1">
      <alignment horizontal="center"/>
      <protection locked="0"/>
    </xf>
    <xf numFmtId="44" fontId="0" fillId="4" borderId="11" xfId="1" applyFont="1" applyFill="1" applyBorder="1" applyAlignment="1">
      <alignment horizontal="center"/>
    </xf>
    <xf numFmtId="44" fontId="0" fillId="4" borderId="63" xfId="1" applyFont="1" applyFill="1" applyBorder="1" applyAlignment="1">
      <alignment horizontal="center"/>
    </xf>
    <xf numFmtId="0" fontId="0" fillId="4" borderId="91" xfId="0" applyFill="1" applyBorder="1" applyAlignment="1">
      <alignment horizontal="center"/>
    </xf>
    <xf numFmtId="0" fontId="0" fillId="4" borderId="80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0" fillId="8" borderId="1" xfId="1" applyFont="1" applyFill="1" applyBorder="1" applyAlignment="1" applyProtection="1">
      <alignment horizontal="center"/>
      <protection locked="0"/>
    </xf>
    <xf numFmtId="44" fontId="1" fillId="4" borderId="90" xfId="1" applyFont="1" applyFill="1" applyBorder="1" applyAlignment="1">
      <alignment horizontal="center"/>
    </xf>
    <xf numFmtId="44" fontId="1" fillId="4" borderId="80" xfId="1" applyFont="1" applyFill="1" applyBorder="1" applyAlignment="1">
      <alignment horizontal="center"/>
    </xf>
    <xf numFmtId="44" fontId="0" fillId="4" borderId="120" xfId="0" applyNumberFormat="1" applyFont="1" applyFill="1" applyBorder="1" applyAlignment="1">
      <alignment horizontal="center"/>
    </xf>
    <xf numFmtId="44" fontId="0" fillId="4" borderId="114" xfId="0" applyNumberFormat="1" applyFont="1" applyFill="1" applyBorder="1" applyAlignment="1">
      <alignment horizontal="center"/>
    </xf>
    <xf numFmtId="44" fontId="0" fillId="4" borderId="125" xfId="1" applyFont="1" applyFill="1" applyBorder="1" applyAlignment="1">
      <alignment horizontal="center"/>
    </xf>
    <xf numFmtId="44" fontId="0" fillId="4" borderId="75" xfId="1" applyFont="1" applyFill="1" applyBorder="1" applyAlignment="1">
      <alignment horizontal="center"/>
    </xf>
    <xf numFmtId="44" fontId="0" fillId="4" borderId="127" xfId="0" applyNumberFormat="1" applyFont="1" applyFill="1" applyBorder="1" applyAlignment="1">
      <alignment horizontal="center"/>
    </xf>
    <xf numFmtId="44" fontId="0" fillId="4" borderId="101" xfId="0" applyNumberFormat="1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</xf>
    <xf numFmtId="0" fontId="0" fillId="8" borderId="1" xfId="0" applyFont="1" applyFill="1" applyBorder="1" applyAlignment="1" applyProtection="1">
      <alignment vertical="top"/>
      <protection locked="0"/>
    </xf>
    <xf numFmtId="0" fontId="0" fillId="8" borderId="11" xfId="0" applyFont="1" applyFill="1" applyBorder="1" applyAlignment="1" applyProtection="1">
      <alignment vertical="top"/>
      <protection locked="0"/>
    </xf>
    <xf numFmtId="0" fontId="0" fillId="4" borderId="1" xfId="0" applyFill="1" applyBorder="1" applyAlignment="1">
      <alignment horizontal="center"/>
    </xf>
    <xf numFmtId="16" fontId="0" fillId="0" borderId="1" xfId="0" applyNumberFormat="1" applyFont="1" applyBorder="1" applyAlignment="1" applyProtection="1">
      <alignment horizontal="center"/>
    </xf>
    <xf numFmtId="0" fontId="1" fillId="0" borderId="82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4" borderId="111" xfId="0" applyFont="1" applyFill="1" applyBorder="1" applyAlignment="1" applyProtection="1">
      <alignment horizontal="left" vertical="top" wrapText="1"/>
    </xf>
    <xf numFmtId="0" fontId="21" fillId="4" borderId="74" xfId="0" applyFont="1" applyFill="1" applyBorder="1" applyAlignment="1" applyProtection="1">
      <alignment horizontal="left" vertical="top" wrapText="1"/>
    </xf>
    <xf numFmtId="0" fontId="21" fillId="4" borderId="83" xfId="0" applyFont="1" applyFill="1" applyBorder="1" applyAlignment="1" applyProtection="1">
      <alignment horizontal="left" vertical="top" wrapText="1"/>
    </xf>
    <xf numFmtId="0" fontId="21" fillId="4" borderId="71" xfId="0" applyFont="1" applyFill="1" applyBorder="1" applyAlignment="1" applyProtection="1">
      <alignment horizontal="left" vertical="top" wrapText="1"/>
    </xf>
    <xf numFmtId="0" fontId="21" fillId="4" borderId="0" xfId="0" applyFont="1" applyFill="1" applyBorder="1" applyAlignment="1" applyProtection="1">
      <alignment horizontal="left" vertical="top" wrapText="1"/>
    </xf>
    <xf numFmtId="0" fontId="21" fillId="4" borderId="72" xfId="0" applyFont="1" applyFill="1" applyBorder="1" applyAlignment="1" applyProtection="1">
      <alignment horizontal="left" vertical="top" wrapText="1"/>
    </xf>
    <xf numFmtId="0" fontId="21" fillId="4" borderId="70" xfId="0" applyFont="1" applyFill="1" applyBorder="1" applyAlignment="1" applyProtection="1">
      <alignment horizontal="left" vertical="top" wrapText="1"/>
    </xf>
    <xf numFmtId="0" fontId="21" fillId="4" borderId="65" xfId="0" applyFont="1" applyFill="1" applyBorder="1" applyAlignment="1" applyProtection="1">
      <alignment horizontal="left" vertical="top" wrapText="1"/>
    </xf>
    <xf numFmtId="0" fontId="21" fillId="4" borderId="73" xfId="0" applyFont="1" applyFill="1" applyBorder="1" applyAlignment="1" applyProtection="1">
      <alignment horizontal="left" vertical="top" wrapText="1"/>
    </xf>
    <xf numFmtId="44" fontId="10" fillId="10" borderId="12" xfId="0" applyNumberFormat="1" applyFont="1" applyFill="1" applyBorder="1" applyAlignment="1" applyProtection="1">
      <alignment horizontal="center"/>
    </xf>
    <xf numFmtId="44" fontId="10" fillId="10" borderId="7" xfId="0" applyNumberFormat="1" applyFont="1" applyFill="1" applyBorder="1" applyAlignment="1" applyProtection="1">
      <alignment horizontal="center"/>
    </xf>
    <xf numFmtId="44" fontId="10" fillId="10" borderId="13" xfId="0" applyNumberFormat="1" applyFont="1" applyFill="1" applyBorder="1" applyAlignment="1" applyProtection="1">
      <alignment horizontal="center"/>
    </xf>
    <xf numFmtId="0" fontId="21" fillId="4" borderId="1" xfId="0" applyFont="1" applyFill="1" applyBorder="1" applyAlignment="1" applyProtection="1">
      <alignment horizontal="left" vertical="top" wrapText="1"/>
    </xf>
    <xf numFmtId="0" fontId="21" fillId="4" borderId="1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 applyProtection="1">
      <alignment horizontal="center" wrapText="1"/>
      <protection locked="0"/>
    </xf>
    <xf numFmtId="0" fontId="1" fillId="6" borderId="13" xfId="0" applyFont="1" applyFill="1" applyBorder="1" applyAlignment="1" applyProtection="1">
      <alignment horizontal="center" wrapText="1"/>
      <protection locked="0"/>
    </xf>
    <xf numFmtId="0" fontId="0" fillId="6" borderId="32" xfId="0" applyFill="1" applyBorder="1" applyAlignment="1" applyProtection="1">
      <alignment horizontal="center" vertical="top" wrapText="1"/>
      <protection locked="0"/>
    </xf>
    <xf numFmtId="0" fontId="0" fillId="6" borderId="25" xfId="0" applyFill="1" applyBorder="1" applyAlignment="1" applyProtection="1">
      <alignment horizontal="center" vertical="top" wrapText="1"/>
      <protection locked="0"/>
    </xf>
    <xf numFmtId="0" fontId="0" fillId="6" borderId="28" xfId="0" applyFill="1" applyBorder="1" applyAlignment="1" applyProtection="1">
      <alignment horizontal="center" vertical="top" wrapText="1"/>
      <protection locked="0"/>
    </xf>
    <xf numFmtId="0" fontId="0" fillId="6" borderId="33" xfId="0" applyFill="1" applyBorder="1" applyAlignment="1" applyProtection="1">
      <alignment horizontal="center" vertical="top" wrapText="1"/>
      <protection locked="0"/>
    </xf>
    <xf numFmtId="0" fontId="0" fillId="6" borderId="0" xfId="0" applyFill="1" applyBorder="1" applyAlignment="1" applyProtection="1">
      <alignment horizontal="center" vertical="top" wrapText="1"/>
      <protection locked="0"/>
    </xf>
    <xf numFmtId="0" fontId="0" fillId="6" borderId="29" xfId="0" applyFill="1" applyBorder="1" applyAlignment="1" applyProtection="1">
      <alignment horizontal="center" vertical="top" wrapText="1"/>
      <protection locked="0"/>
    </xf>
    <xf numFmtId="0" fontId="0" fillId="6" borderId="34" xfId="0" applyFill="1" applyBorder="1" applyAlignment="1" applyProtection="1">
      <alignment horizontal="center" vertical="top" wrapText="1"/>
      <protection locked="0"/>
    </xf>
    <xf numFmtId="0" fontId="0" fillId="6" borderId="4" xfId="0" applyFill="1" applyBorder="1" applyAlignment="1" applyProtection="1">
      <alignment horizontal="center" vertical="top" wrapText="1"/>
      <protection locked="0"/>
    </xf>
    <xf numFmtId="0" fontId="0" fillId="6" borderId="31" xfId="0" applyFill="1" applyBorder="1" applyAlignment="1" applyProtection="1">
      <alignment horizontal="center" vertical="top" wrapText="1"/>
      <protection locked="0"/>
    </xf>
    <xf numFmtId="0" fontId="1" fillId="0" borderId="2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8" borderId="11" xfId="0" applyFill="1" applyBorder="1" applyAlignment="1" applyProtection="1">
      <alignment horizontal="center"/>
    </xf>
    <xf numFmtId="0" fontId="0" fillId="8" borderId="64" xfId="0" applyFill="1" applyBorder="1" applyAlignment="1" applyProtection="1">
      <alignment horizontal="center"/>
    </xf>
    <xf numFmtId="0" fontId="0" fillId="8" borderId="63" xfId="0" applyFill="1" applyBorder="1" applyAlignment="1" applyProtection="1">
      <alignment horizontal="center"/>
    </xf>
    <xf numFmtId="0" fontId="16" fillId="0" borderId="36" xfId="0" applyFont="1" applyBorder="1" applyAlignment="1" applyProtection="1">
      <alignment horizontal="left" vertical="top" wrapText="1"/>
    </xf>
    <xf numFmtId="0" fontId="16" fillId="0" borderId="37" xfId="0" applyFont="1" applyBorder="1" applyAlignment="1" applyProtection="1">
      <alignment horizontal="left" vertical="top" wrapText="1"/>
    </xf>
    <xf numFmtId="0" fontId="0" fillId="0" borderId="11" xfId="0" applyFill="1" applyBorder="1" applyAlignment="1" applyProtection="1">
      <alignment horizontal="left" vertical="top"/>
    </xf>
    <xf numFmtId="0" fontId="0" fillId="0" borderId="64" xfId="0" applyFill="1" applyBorder="1" applyAlignment="1" applyProtection="1">
      <alignment horizontal="left" vertical="top"/>
    </xf>
    <xf numFmtId="0" fontId="0" fillId="0" borderId="65" xfId="0" applyFill="1" applyBorder="1" applyAlignment="1" applyProtection="1">
      <alignment horizontal="left" vertical="top"/>
    </xf>
    <xf numFmtId="0" fontId="0" fillId="0" borderId="63" xfId="0" applyFill="1" applyBorder="1" applyAlignment="1" applyProtection="1">
      <alignment horizontal="left" vertical="top"/>
    </xf>
    <xf numFmtId="0" fontId="0" fillId="0" borderId="1" xfId="0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29" xfId="0" applyFont="1" applyBorder="1" applyAlignment="1" applyProtection="1">
      <alignment horizontal="center" vertical="top" wrapText="1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9" fontId="0" fillId="0" borderId="46" xfId="0" applyNumberFormat="1" applyBorder="1" applyAlignment="1">
      <alignment vertical="center" wrapText="1"/>
    </xf>
    <xf numFmtId="9" fontId="0" fillId="0" borderId="50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rolling_2010\Kennzahlen\WS%202011_12\Kennzahlenbericht_11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_Bib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topLeftCell="A4" workbookViewId="0">
      <selection activeCell="C44" sqref="C44"/>
    </sheetView>
  </sheetViews>
  <sheetFormatPr baseColWidth="10" defaultColWidth="11.54296875" defaultRowHeight="14.5" x14ac:dyDescent="0.35"/>
  <cols>
    <col min="1" max="1" width="4" style="60" customWidth="1"/>
    <col min="2" max="2" width="37.7265625" style="60" customWidth="1"/>
    <col min="3" max="3" width="25" style="60" customWidth="1"/>
    <col min="4" max="5" width="15.453125" style="60" bestFit="1" customWidth="1"/>
    <col min="6" max="6" width="27" style="60" customWidth="1"/>
    <col min="7" max="16384" width="11.54296875" style="60"/>
  </cols>
  <sheetData>
    <row r="2" spans="2:9" ht="21" x14ac:dyDescent="0.35">
      <c r="B2" s="114" t="s">
        <v>147</v>
      </c>
      <c r="C2" s="104"/>
    </row>
    <row r="3" spans="2:9" ht="13.15" customHeight="1" thickBot="1" x14ac:dyDescent="0.4">
      <c r="B3" s="114"/>
      <c r="C3" s="104"/>
    </row>
    <row r="4" spans="2:9" customFormat="1" ht="15" thickBot="1" x14ac:dyDescent="0.4">
      <c r="B4" s="530" t="s">
        <v>161</v>
      </c>
      <c r="C4" s="535"/>
      <c r="D4" s="535"/>
      <c r="E4" s="535"/>
      <c r="F4" s="536"/>
      <c r="G4" s="60"/>
      <c r="H4" s="60"/>
      <c r="I4" s="60"/>
    </row>
    <row r="5" spans="2:9" customFormat="1" ht="15" thickBot="1" x14ac:dyDescent="0.4">
      <c r="B5" s="174" t="s">
        <v>49</v>
      </c>
      <c r="C5" s="175"/>
      <c r="D5" s="175"/>
      <c r="E5" s="175"/>
      <c r="F5" s="176"/>
      <c r="G5" s="60"/>
      <c r="H5" s="60"/>
      <c r="I5" s="60"/>
    </row>
    <row r="6" spans="2:9" ht="15" thickBot="1" x14ac:dyDescent="0.4"/>
    <row r="7" spans="2:9" x14ac:dyDescent="0.35">
      <c r="B7" s="119" t="s">
        <v>99</v>
      </c>
      <c r="C7" s="531" t="s">
        <v>45</v>
      </c>
      <c r="D7" s="120"/>
      <c r="E7" s="120"/>
      <c r="F7" s="121"/>
    </row>
    <row r="8" spans="2:9" x14ac:dyDescent="0.35">
      <c r="B8" s="122" t="s">
        <v>0</v>
      </c>
      <c r="C8" s="532" t="s">
        <v>76</v>
      </c>
      <c r="D8" s="105"/>
      <c r="E8" s="105"/>
      <c r="F8" s="123"/>
    </row>
    <row r="9" spans="2:9" x14ac:dyDescent="0.35">
      <c r="B9" s="122" t="s">
        <v>1</v>
      </c>
      <c r="C9" s="533">
        <v>6</v>
      </c>
      <c r="D9" s="105"/>
      <c r="E9" s="105"/>
      <c r="F9" s="123"/>
    </row>
    <row r="10" spans="2:9" x14ac:dyDescent="0.35">
      <c r="B10" s="122" t="s">
        <v>97</v>
      </c>
      <c r="C10" s="533" t="s">
        <v>92</v>
      </c>
      <c r="D10" s="105"/>
      <c r="E10" s="105"/>
      <c r="F10" s="123"/>
    </row>
    <row r="11" spans="2:9" x14ac:dyDescent="0.35">
      <c r="B11" s="122" t="s">
        <v>105</v>
      </c>
      <c r="C11" s="105"/>
      <c r="D11" s="124">
        <v>1</v>
      </c>
      <c r="E11" s="534">
        <v>0.5</v>
      </c>
      <c r="F11" s="123"/>
    </row>
    <row r="12" spans="2:9" x14ac:dyDescent="0.35">
      <c r="B12" s="137" t="str">
        <f>IF($C$7="Standard","AG-Brutto ohne JSZ",IF($C$7="IGF/AiF","IGF-Brutto zu Projektbeginn",IF($C$7="ZIM","Fix-Monatsbruttolohn/-gehalt zum Zeitpunkt der Antragsstellung",IF($C$7="EFRE","Reale Kosten pro Monat",IF($C$7="INTERREG","Reale Kosten pro Monat",IF($C$7="DFG","Reale Kosten pro Monat",IF($C$7="HEU","HEU-Tagessatz","Fehler")))))))</f>
        <v>Fix-Monatsbruttolohn/-gehalt zum Zeitpunkt der Antragsstellung</v>
      </c>
      <c r="C12" s="105"/>
      <c r="D12" s="139">
        <f>IF($C$7="Standard",D38,IF($C$7="IGF/AiF",D47,IF($C$7="ZIM",D27,IF($C$7="EFRE",D42,IF($C$7="INTERREG",D42,IF($C$7="DFG",D42,IF($C$7="HEU",D46,"Fehler")))))))</f>
        <v>6037.38</v>
      </c>
      <c r="E12" s="139">
        <f>IF($C$7="Standard",E38,IF($C$7="IGF/AiF",E47,IF($C$7="ZIM",E27,IF($C$7="EFRE"," ",IF($C$7="INTERREG"," ",IF($C$7="DFG",E42,IF($C$7="HEU",E46,"Fehler")))))))</f>
        <v>3018.69</v>
      </c>
      <c r="F12" s="142" t="str">
        <f>IF($C$7="Standard","",IF($C$7="IGF/AiF","&lt;-- Dieser Wert am wichtigsten!",IF($C$7="ZIM","&lt;-- Dieser Wert ist wichtig.",IF($C$7="EFRE","",IF($C$7="INTERREG","",IF($C$7="DFG","",IF($C$7="HEU","&lt;-- Diesen Wert nehmen.","Fehler")))))))</f>
        <v>&lt;-- Dieser Wert ist wichtig.</v>
      </c>
    </row>
    <row r="13" spans="2:9" x14ac:dyDescent="0.35">
      <c r="B13" s="137" t="str">
        <f>IF($C$7="Standard","Monatlicher Anteil JSZ",IF($C$7="IGF/AiF","",IF($C$7="ZIM","Weitere fixe Gehaltsbestandteile",IF($C$7="EFRE","Reale Kosten pro Stunde",IF($C$7="INTERREG","Reale Kosten pro Stunde",IF($C$7="DFG","",IF($C$7="HEU","","Fehler")))))))</f>
        <v>Weitere fixe Gehaltsbestandteile</v>
      </c>
      <c r="C13" s="105"/>
      <c r="D13" s="139">
        <f>IF($C$7="Standard",D40,IF($C$7="IGF/AiF","",IF($C$7="ZIM",D49,IF($C$7="EFRE"," ",IF($C$7="INTERREG"," ",IF($C$7="DFG"," ",IF($C$7="HEU","","Fehler")))))))</f>
        <v>7481.6278800000009</v>
      </c>
      <c r="E13" s="139">
        <f>IF($C$7="Standard",E40,IF($C$7="IGF/AiF","",IF($C$7="ZIM",E49,IF($C$7="EFRE",E44,IF($C$7="INTERREG",E44,IF($C$7="DFG"," ",IF($C$7="HEU","","Fehler")))))))</f>
        <v>3740.8139400000005</v>
      </c>
      <c r="F13" s="142" t="str">
        <f>IF($C$7="Standard","",IF($C$7="IGF/AiF","",IF($C$7="ZIM","&lt;-- Dieser Wert ist wichtig.",IF($C$7="EFRE","",IF($C$7="INTERREG","",IF($C$7="DFG","",IF($C$7="HEU","","Fehler")))))))</f>
        <v>&lt;-- Dieser Wert ist wichtig.</v>
      </c>
    </row>
    <row r="14" spans="2:9" x14ac:dyDescent="0.35">
      <c r="B14" s="137" t="str">
        <f>IF($C$7="Standard","AG-Brutto mit JSZ",IF($C$7="IGF/AiF","",IF($C$7="ZIM","",IF($C$7="EFRE"," ",IF($C$7="INTERREG"," ",IF($C$7="DFG"," ",IF($C$7="HEU","","Fehler")))))))</f>
        <v/>
      </c>
      <c r="C14" s="105"/>
      <c r="D14" s="139" t="str">
        <f>IF($C$7="Standard",D42,IF($C$7="IGF/AiF","",IF($C$7="ZIM","",IF($C$7="EFRE","",IF($C$7="INTERREG","",IF($C$7="DFG","",IF($C$7="HEU","","Fehler")))))))</f>
        <v/>
      </c>
      <c r="E14" s="139" t="str">
        <f>IF($C$7="Standard",E42,IF($C$7="IGF/AiF","",IF($C$7="ZIM","",IF($C$7="EFRE","",IF($C$7="INTERREG","",IF($C$7="DFG","",IF($C$7="HEU","","Fehler")))))))</f>
        <v/>
      </c>
      <c r="F14" s="142" t="str">
        <f>IF($C$7="Standard","&lt;--Dieser Wert am wichtigsten",IF($C$7="IGF/AiF","",IF($C$7="ZIM","",IF($C$7="EFRE","",IF($C$7="INTERREG","",IF($C$7="DFG","",IF($C$7="HEU","","Fehler")))))))</f>
        <v/>
      </c>
    </row>
    <row r="15" spans="2:9" x14ac:dyDescent="0.35">
      <c r="B15" s="122"/>
      <c r="C15" s="105"/>
      <c r="D15" s="105"/>
      <c r="E15" s="105"/>
      <c r="F15" s="123"/>
    </row>
    <row r="16" spans="2:9" ht="14.5" customHeight="1" x14ac:dyDescent="0.35">
      <c r="B16" s="122" t="s">
        <v>122</v>
      </c>
      <c r="C16" s="933" t="str">
        <f>IF($C$7="Standard","Ohne Tariferhöhung: max. 2023-Werte!   Versteckte Eigenanteile beachten.",IF($C$7="IGF/AiF", "Sozialversicherung, Stufenerhöhungen &amp; Tarifsteigerung über Pauschale!",IF($C$7="ZIM","Gehaltserhöhung/Sozialversicherungsbeiträge über Pauschale! Max. 10,5 PM/Jahr",IF($C$7="EFRE","Förderlinieneingruppierung wählen!",IF($C$7="INTERREG","Förderlinieneingruppierung wählen!",IF($C$7="DFG","Eingruppierung für Förderlinie wählen!",IF($C$7="HEU","Es wird mit Tagessätzen gerechnet; insgesamt 215 Arbeitstage/Jahr.","Fehler")))))))</f>
        <v>Gehaltserhöhung/Sozialversicherungsbeiträge über Pauschale! Max. 10,5 PM/Jahr</v>
      </c>
      <c r="D16" s="933"/>
      <c r="E16" s="933"/>
      <c r="F16" s="934"/>
    </row>
    <row r="17" spans="2:6" x14ac:dyDescent="0.35">
      <c r="B17" s="122" t="s">
        <v>127</v>
      </c>
      <c r="C17" s="105"/>
      <c r="D17" s="125" t="s">
        <v>10</v>
      </c>
      <c r="E17" s="125" t="s">
        <v>12</v>
      </c>
      <c r="F17" s="123"/>
    </row>
    <row r="18" spans="2:6" x14ac:dyDescent="0.35">
      <c r="B18" s="126" t="s">
        <v>15</v>
      </c>
      <c r="C18" s="533" t="s">
        <v>243</v>
      </c>
      <c r="D18" s="140">
        <f>INDEX('Infos FoFö'!$B$25:$F$29,MATCH($C18,'Infos FoFö'!$B$25:$B$29),4)</f>
        <v>6150</v>
      </c>
      <c r="E18" s="140">
        <f>INDEX('Infos FoFö'!$B$25:$F$29,MATCH($C18,'Infos FoFö'!$B$25:$B$29),5)</f>
        <v>44</v>
      </c>
      <c r="F18" s="141" t="str">
        <f>IF($C$7=$B$18,"&lt;-- Diese Werte nehmen.",IF($C$7=$B$19,"",IF($C$7=$B$20,"","")))</f>
        <v/>
      </c>
    </row>
    <row r="19" spans="2:6" x14ac:dyDescent="0.35">
      <c r="B19" s="126" t="s">
        <v>51</v>
      </c>
      <c r="C19" s="533" t="s">
        <v>238</v>
      </c>
      <c r="D19" s="140">
        <f>INDEX('Infos FoFö'!$B$14:$F$19,MATCH($C19,'Infos FoFö'!$B$14:$B$19),4)</f>
        <v>8385</v>
      </c>
      <c r="E19" s="140">
        <f>INDEX('Infos FoFö'!$B$14:$F$19,MATCH($C19,'Infos FoFö'!$B$14:$B$19),5)</f>
        <v>58.5</v>
      </c>
      <c r="F19" s="141" t="str">
        <f>IF($C$7=$B$18,"",IF($C$7=$B$19,"&lt;-- Diese Werte nehmen.",IF($C$7=$B$20,"","")))</f>
        <v/>
      </c>
    </row>
    <row r="20" spans="2:6" x14ac:dyDescent="0.35">
      <c r="B20" s="126" t="s">
        <v>101</v>
      </c>
      <c r="C20" s="533" t="s">
        <v>252</v>
      </c>
      <c r="D20" s="140">
        <f>INDEX('Infos FoFö'!$B$130:$D$137,MATCH($C$20,'Infos FoFö'!$B$130:$B$137),3)</f>
        <v>5975</v>
      </c>
      <c r="E20" s="138"/>
      <c r="F20" s="141" t="str">
        <f>IF($C$7=$B$18,"",IF($C$7=$B$19,"",IF($C$7=$B$20,"&lt;-- Diesen Wert nehmen.","")))</f>
        <v/>
      </c>
    </row>
    <row r="21" spans="2:6" x14ac:dyDescent="0.35">
      <c r="B21" s="126"/>
      <c r="C21" s="105"/>
      <c r="D21" s="105"/>
      <c r="E21" s="105"/>
      <c r="F21" s="123"/>
    </row>
    <row r="22" spans="2:6" x14ac:dyDescent="0.35">
      <c r="B22" s="126"/>
      <c r="C22" s="105"/>
      <c r="D22" s="127">
        <f>D11</f>
        <v>1</v>
      </c>
      <c r="E22" s="127">
        <f>E11</f>
        <v>0.5</v>
      </c>
      <c r="F22" s="123"/>
    </row>
    <row r="23" spans="2:6" ht="15" thickBot="1" x14ac:dyDescent="0.4">
      <c r="B23" s="128" t="s">
        <v>146</v>
      </c>
      <c r="C23" s="129"/>
      <c r="D23" s="130" t="str">
        <f>IF($C$7=$B$18,D18-D12,IF($C$7=$B$19,D19-D12,IF($C$7=$B$20,D20-D12,"Nicht relevant")))</f>
        <v>Nicht relevant</v>
      </c>
      <c r="E23" s="130" t="str">
        <f>IF($C$7=$B$18,(E18-E13)*1650*E11/12,IF($C$7=$B$19,(E19-E13)*1650*E11/12,IF($C$7=$B$20,D20*E11-E12,"Nicht relevant")))</f>
        <v>Nicht relevant</v>
      </c>
      <c r="F23" s="136" t="str">
        <f>IF(D23="Nicht relevant","",IF(D23&gt;0, "OK", "Achtung: Defizit!"))</f>
        <v/>
      </c>
    </row>
    <row r="24" spans="2:6" ht="15" thickBot="1" x14ac:dyDescent="0.4"/>
    <row r="25" spans="2:6" ht="15" thickBot="1" x14ac:dyDescent="0.4">
      <c r="B25" s="155" t="s">
        <v>148</v>
      </c>
      <c r="C25" s="154"/>
      <c r="D25" s="154"/>
      <c r="E25" s="156"/>
    </row>
    <row r="26" spans="2:6" ht="15" thickBot="1" x14ac:dyDescent="0.4">
      <c r="B26" s="158" t="s">
        <v>105</v>
      </c>
      <c r="C26" s="159"/>
      <c r="D26" s="522">
        <f>D11</f>
        <v>1</v>
      </c>
      <c r="E26" s="523">
        <f>E11</f>
        <v>0.5</v>
      </c>
    </row>
    <row r="27" spans="2:6" ht="15" thickBot="1" x14ac:dyDescent="0.4">
      <c r="B27" s="160" t="s">
        <v>47</v>
      </c>
      <c r="C27" s="159"/>
      <c r="D27" s="486">
        <f>INDEX(Tabelle!$A$4:$I$118,$C$52,IF($C$10="bis Nov22",3,IF($C$10="Dez22-2023",4,MATCH($C$10,Tabelle!$A$4:$I$4))))</f>
        <v>6037.38</v>
      </c>
      <c r="E27" s="487">
        <f>$E$11*D27</f>
        <v>3018.69</v>
      </c>
    </row>
    <row r="28" spans="2:6" x14ac:dyDescent="0.35">
      <c r="B28" s="150" t="s">
        <v>112</v>
      </c>
      <c r="C28" s="501">
        <f>'Infos FoFö'!C59</f>
        <v>9.2999999999999999E-2</v>
      </c>
      <c r="D28" s="488">
        <f t="shared" ref="D28:D34" si="0">C28*$D$27</f>
        <v>561.47634000000005</v>
      </c>
      <c r="E28" s="489">
        <f>$E$11*D28</f>
        <v>280.73817000000003</v>
      </c>
    </row>
    <row r="29" spans="2:6" x14ac:dyDescent="0.35">
      <c r="B29" s="145" t="s">
        <v>111</v>
      </c>
      <c r="C29" s="502">
        <f>'Infos FoFö'!C60</f>
        <v>1.2E-2</v>
      </c>
      <c r="D29" s="490">
        <f t="shared" si="0"/>
        <v>72.448560000000001</v>
      </c>
      <c r="E29" s="491">
        <f t="shared" ref="E29:E37" si="1">$E$11*D29</f>
        <v>36.22428</v>
      </c>
    </row>
    <row r="30" spans="2:6" x14ac:dyDescent="0.35">
      <c r="B30" s="145" t="s">
        <v>110</v>
      </c>
      <c r="C30" s="502">
        <f>'Infos FoFö'!C61</f>
        <v>7.9000000000000001E-2</v>
      </c>
      <c r="D30" s="490">
        <f t="shared" si="0"/>
        <v>476.95302000000004</v>
      </c>
      <c r="E30" s="491">
        <f t="shared" si="1"/>
        <v>238.47651000000002</v>
      </c>
    </row>
    <row r="31" spans="2:6" x14ac:dyDescent="0.35">
      <c r="B31" s="145" t="s">
        <v>109</v>
      </c>
      <c r="C31" s="503">
        <f>'Infos FoFö'!C62</f>
        <v>1.525E-2</v>
      </c>
      <c r="D31" s="490">
        <f t="shared" si="0"/>
        <v>92.070044999999993</v>
      </c>
      <c r="E31" s="491">
        <f t="shared" si="1"/>
        <v>46.035022499999997</v>
      </c>
    </row>
    <row r="32" spans="2:6" x14ac:dyDescent="0.35">
      <c r="B32" s="145" t="s">
        <v>108</v>
      </c>
      <c r="C32" s="503">
        <f>'Infos FoFö'!C63</f>
        <v>2.75E-2</v>
      </c>
      <c r="D32" s="490">
        <f t="shared" si="0"/>
        <v>166.02795</v>
      </c>
      <c r="E32" s="491">
        <f t="shared" si="1"/>
        <v>83.013975000000002</v>
      </c>
    </row>
    <row r="33" spans="2:5" ht="15" thickBot="1" x14ac:dyDescent="0.4">
      <c r="B33" s="151" t="s">
        <v>107</v>
      </c>
      <c r="C33" s="504">
        <f>'Infos FoFö'!C64</f>
        <v>1.5E-3</v>
      </c>
      <c r="D33" s="492">
        <f t="shared" si="0"/>
        <v>9.0560700000000001</v>
      </c>
      <c r="E33" s="493">
        <f t="shared" si="1"/>
        <v>4.528035</v>
      </c>
    </row>
    <row r="34" spans="2:5" ht="15" thickBot="1" x14ac:dyDescent="0.4">
      <c r="B34" s="162" t="s">
        <v>106</v>
      </c>
      <c r="C34" s="505">
        <f>SUM(C28:C33)</f>
        <v>0.22824999999999998</v>
      </c>
      <c r="D34" s="494">
        <f t="shared" si="0"/>
        <v>1378.0319849999998</v>
      </c>
      <c r="E34" s="495">
        <f t="shared" si="1"/>
        <v>689.01599249999992</v>
      </c>
    </row>
    <row r="35" spans="2:5" ht="15" thickBot="1" x14ac:dyDescent="0.4">
      <c r="B35" s="163" t="s">
        <v>2</v>
      </c>
      <c r="C35" s="506">
        <f>'Infos FoFö'!C67</f>
        <v>6.4500000000000002E-2</v>
      </c>
      <c r="D35" s="496">
        <f>C35*D27</f>
        <v>389.41101000000003</v>
      </c>
      <c r="E35" s="497">
        <f t="shared" si="1"/>
        <v>194.70550500000002</v>
      </c>
    </row>
    <row r="36" spans="2:5" ht="15" thickBot="1" x14ac:dyDescent="0.4">
      <c r="B36" s="152" t="s">
        <v>46</v>
      </c>
      <c r="C36" s="486">
        <f>'Infos FoFö'!C68</f>
        <v>6.65</v>
      </c>
      <c r="D36" s="498">
        <f>C36</f>
        <v>6.65</v>
      </c>
      <c r="E36" s="487">
        <f t="shared" si="1"/>
        <v>3.3250000000000002</v>
      </c>
    </row>
    <row r="37" spans="2:5" ht="15" thickBot="1" x14ac:dyDescent="0.4">
      <c r="B37" s="164" t="s">
        <v>3</v>
      </c>
      <c r="C37" s="507">
        <f>'Infos FoFö'!C69</f>
        <v>21.05</v>
      </c>
      <c r="D37" s="499">
        <f>C37</f>
        <v>21.05</v>
      </c>
      <c r="E37" s="500">
        <f t="shared" si="1"/>
        <v>10.525</v>
      </c>
    </row>
    <row r="38" spans="2:5" x14ac:dyDescent="0.35">
      <c r="B38" s="161" t="s">
        <v>113</v>
      </c>
      <c r="C38" s="157"/>
      <c r="D38" s="524">
        <f>D27+D34+D35+D36+D37</f>
        <v>7832.5229949999994</v>
      </c>
      <c r="E38" s="525">
        <f>E27+E34+E35+E36+E37</f>
        <v>3916.2614974999997</v>
      </c>
    </row>
    <row r="39" spans="2:5" x14ac:dyDescent="0.35">
      <c r="B39" s="146" t="s">
        <v>114</v>
      </c>
      <c r="C39" s="143"/>
      <c r="D39" s="520">
        <f>D38*12</f>
        <v>93990.275939999992</v>
      </c>
      <c r="E39" s="521">
        <f>E38*12</f>
        <v>46995.137969999996</v>
      </c>
    </row>
    <row r="40" spans="2:5" x14ac:dyDescent="0.35">
      <c r="B40" s="146" t="s">
        <v>151</v>
      </c>
      <c r="C40" s="149"/>
      <c r="D40" s="526">
        <f>D41/12</f>
        <v>295.02503281166668</v>
      </c>
      <c r="E40" s="527">
        <f>E41/12</f>
        <v>147.51251640583334</v>
      </c>
    </row>
    <row r="41" spans="2:5" x14ac:dyDescent="0.35">
      <c r="B41" s="146" t="s">
        <v>125</v>
      </c>
      <c r="C41" s="517">
        <f>IF(C10="bis Nov22",INDEX(Tabelle!$A$4:$K$118,$C$52,10),INDEX(Tabelle!$A$4:$K$118,$C$52,11))</f>
        <v>0.45200000000000001</v>
      </c>
      <c r="D41" s="518">
        <f>C41*D38</f>
        <v>3540.3003937399999</v>
      </c>
      <c r="E41" s="519">
        <f>C41*E38</f>
        <v>1770.1501968699999</v>
      </c>
    </row>
    <row r="42" spans="2:5" x14ac:dyDescent="0.35">
      <c r="B42" s="146" t="s">
        <v>115</v>
      </c>
      <c r="C42" s="157"/>
      <c r="D42" s="526">
        <f>D38+D40</f>
        <v>8127.5480278116656</v>
      </c>
      <c r="E42" s="527">
        <f>E38+E40</f>
        <v>4063.7740139058328</v>
      </c>
    </row>
    <row r="43" spans="2:5" ht="15" thickBot="1" x14ac:dyDescent="0.4">
      <c r="B43" s="151" t="s">
        <v>116</v>
      </c>
      <c r="C43" s="149"/>
      <c r="D43" s="528">
        <f>D39+D41</f>
        <v>97530.576333739999</v>
      </c>
      <c r="E43" s="529">
        <f>E39+E41</f>
        <v>48765.288166869999</v>
      </c>
    </row>
    <row r="44" spans="2:5" ht="15" thickBot="1" x14ac:dyDescent="0.4">
      <c r="B44" s="152" t="s">
        <v>117</v>
      </c>
      <c r="C44" s="508">
        <f>'Infos FoFö'!C87</f>
        <v>1650</v>
      </c>
      <c r="D44" s="509">
        <f>D43/(1650*D11)</f>
        <v>59.109440202266669</v>
      </c>
      <c r="E44" s="510">
        <f>E43/(1650*E11)</f>
        <v>59.109440202266669</v>
      </c>
    </row>
    <row r="45" spans="2:5" ht="15" thickBot="1" x14ac:dyDescent="0.4">
      <c r="B45" s="165"/>
      <c r="C45" s="166"/>
      <c r="D45" s="167"/>
      <c r="E45" s="168"/>
    </row>
    <row r="46" spans="2:5" ht="15" thickBot="1" x14ac:dyDescent="0.4">
      <c r="B46" s="152" t="s">
        <v>150</v>
      </c>
      <c r="C46" s="508">
        <f>'Infos FoFö'!C94</f>
        <v>215</v>
      </c>
      <c r="D46" s="509">
        <f>D43/($C46*D$11)</f>
        <v>453.63058759879067</v>
      </c>
      <c r="E46" s="510">
        <f>E43/($C46)</f>
        <v>226.81529379939533</v>
      </c>
    </row>
    <row r="47" spans="2:5" ht="15" thickBot="1" x14ac:dyDescent="0.4">
      <c r="B47" s="153" t="s">
        <v>123</v>
      </c>
      <c r="C47" s="154"/>
      <c r="D47" s="511">
        <f>D38+D37</f>
        <v>7853.5729949999995</v>
      </c>
      <c r="E47" s="512">
        <f>E38+E37</f>
        <v>3926.7864974999998</v>
      </c>
    </row>
    <row r="48" spans="2:5" x14ac:dyDescent="0.35">
      <c r="B48" s="150" t="s">
        <v>126</v>
      </c>
      <c r="C48" s="144"/>
      <c r="D48" s="513">
        <f>$C41*D27</f>
        <v>2728.8957600000003</v>
      </c>
      <c r="E48" s="514">
        <f>$C41*E27</f>
        <v>1364.4478800000002</v>
      </c>
    </row>
    <row r="49" spans="2:5" ht="15" thickBot="1" x14ac:dyDescent="0.4">
      <c r="B49" s="147" t="s">
        <v>124</v>
      </c>
      <c r="C49" s="148"/>
      <c r="D49" s="515">
        <f>D48+12*D35+12*D36</f>
        <v>7481.6278800000009</v>
      </c>
      <c r="E49" s="516">
        <f>E48+12*E35+12*E36</f>
        <v>3740.8139400000005</v>
      </c>
    </row>
    <row r="50" spans="2:5" ht="15" thickBot="1" x14ac:dyDescent="0.4"/>
    <row r="51" spans="2:5" x14ac:dyDescent="0.35">
      <c r="B51" s="132" t="s">
        <v>149</v>
      </c>
      <c r="C51" s="133">
        <f>IF($C$8='Infos FoFö'!$C$99,1,IF($C$8='Infos FoFö'!$C$100,2,IF($C$8='Infos FoFö'!$C$101,3,IF($C$8='Infos FoFö'!$C$102,4,IF($C$8='Infos FoFö'!$C$103,5,IF($C$8='Infos FoFö'!$C$104,6,IF($C$8='Infos FoFö'!$C$105,7,IF($C$8='Infos FoFö'!$C$106,8,IF($C$8='Infos FoFö'!$C$107,9,IF($C$8='Infos FoFö'!$C$108,10,IF($C$8='Infos FoFö'!$C$109,11,IF($C$8='Infos FoFö'!$C$110,12,IF($C$8='Infos FoFö'!$C$111,13,IF($C$8='Infos FoFö'!$C$112,14,IF($C$8='Infos FoFö'!$C$113,15,IF($C$8='Infos FoFö'!$C$114,16,IF($C$8='Infos FoFö'!$C$115,17,IF($C$8='Infos FoFö'!$C$116,18,IF($C$8='Infos FoFö'!$C$117,19,"Fehler")))))))))))))))))))</f>
        <v>5</v>
      </c>
      <c r="D51" s="120"/>
      <c r="E51" s="121"/>
    </row>
    <row r="52" spans="2:5" ht="15" thickBot="1" x14ac:dyDescent="0.4">
      <c r="B52" s="134" t="s">
        <v>159</v>
      </c>
      <c r="C52" s="135">
        <f>2+($C$51-1)*6+(6-$C$9)</f>
        <v>26</v>
      </c>
      <c r="D52" s="129"/>
      <c r="E52" s="131"/>
    </row>
  </sheetData>
  <sheetProtection sheet="1" objects="1" scenarios="1"/>
  <mergeCells count="1">
    <mergeCell ref="C16:F16"/>
  </mergeCells>
  <dataValidations count="1">
    <dataValidation type="decimal" allowBlank="1" showInputMessage="1" showErrorMessage="1" sqref="E11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'Infos FoFö'!$B$99:$B$105</xm:f>
          </x14:formula1>
          <xm:sqref>C7</xm:sqref>
        </x14:dataValidation>
        <x14:dataValidation type="list" showInputMessage="1" showErrorMessage="1">
          <x14:formula1>
            <xm:f>'Infos FoFö'!$D$99:$D$104</xm:f>
          </x14:formula1>
          <xm:sqref>C9</xm:sqref>
        </x14:dataValidation>
        <x14:dataValidation type="list" allowBlank="1" showInputMessage="1" showErrorMessage="1">
          <x14:formula1>
            <xm:f>'Infos FoFö'!$C$99:$C$117</xm:f>
          </x14:formula1>
          <xm:sqref>C8</xm:sqref>
        </x14:dataValidation>
        <x14:dataValidation type="list" allowBlank="1" showInputMessage="1" showErrorMessage="1">
          <x14:formula1>
            <xm:f>'Infos FoFö'!$E$99:$E$105</xm:f>
          </x14:formula1>
          <xm:sqref>C10</xm:sqref>
        </x14:dataValidation>
        <x14:dataValidation type="list" allowBlank="1" showInputMessage="1" showErrorMessage="1">
          <x14:formula1>
            <xm:f>'Infos FoFö'!$B$130:$B$137</xm:f>
          </x14:formula1>
          <xm:sqref>C20</xm:sqref>
        </x14:dataValidation>
        <x14:dataValidation type="list" allowBlank="1" showInputMessage="1" showErrorMessage="1">
          <x14:formula1>
            <xm:f>'Infos FoFö'!$B$15:$B$19</xm:f>
          </x14:formula1>
          <xm:sqref>C19</xm:sqref>
        </x14:dataValidation>
        <x14:dataValidation type="list" allowBlank="1" showInputMessage="1" showErrorMessage="1">
          <x14:formula1>
            <xm:f>'Infos FoFö'!$B$26:$B$29</xm:f>
          </x14:formula1>
          <xm:sqref>C18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topLeftCell="A172" workbookViewId="0">
      <selection activeCell="B147" sqref="B147"/>
    </sheetView>
  </sheetViews>
  <sheetFormatPr baseColWidth="10" defaultRowHeight="14.5" x14ac:dyDescent="0.35"/>
  <cols>
    <col min="2" max="2" width="43.1796875" customWidth="1"/>
    <col min="3" max="3" width="27.54296875" bestFit="1" customWidth="1"/>
    <col min="6" max="6" width="27.26953125" bestFit="1" customWidth="1"/>
    <col min="8" max="8" width="30.54296875" bestFit="1" customWidth="1"/>
  </cols>
  <sheetData>
    <row r="1" spans="2:17" ht="23.5" x14ac:dyDescent="0.55000000000000004">
      <c r="B1" s="66" t="s">
        <v>71</v>
      </c>
    </row>
    <row r="2" spans="2:17" ht="24" thickBot="1" x14ac:dyDescent="0.6">
      <c r="B2" s="66"/>
    </row>
    <row r="3" spans="2:17" ht="15" customHeight="1" thickBot="1" x14ac:dyDescent="0.4">
      <c r="B3" s="1045" t="s">
        <v>167</v>
      </c>
      <c r="C3" s="1046"/>
      <c r="D3" s="1046"/>
      <c r="E3" s="1046"/>
      <c r="F3" s="1047"/>
      <c r="G3" s="52"/>
      <c r="I3" t="s">
        <v>175</v>
      </c>
    </row>
    <row r="4" spans="2:17" ht="15" thickBot="1" x14ac:dyDescent="0.4">
      <c r="B4" s="200" t="s">
        <v>177</v>
      </c>
      <c r="C4" s="201">
        <v>2018</v>
      </c>
      <c r="D4" s="201">
        <v>2019</v>
      </c>
      <c r="E4" s="201">
        <v>2020</v>
      </c>
      <c r="F4" s="202">
        <v>2021</v>
      </c>
      <c r="G4" s="203" t="s">
        <v>174</v>
      </c>
      <c r="I4" s="188">
        <v>2019</v>
      </c>
      <c r="J4" s="188">
        <v>2020</v>
      </c>
      <c r="K4" s="188">
        <v>2021</v>
      </c>
      <c r="L4" s="188">
        <v>2022</v>
      </c>
    </row>
    <row r="5" spans="2:17" x14ac:dyDescent="0.35">
      <c r="B5" s="195" t="s">
        <v>173</v>
      </c>
      <c r="C5" s="196"/>
      <c r="D5" s="197">
        <v>3.0099999999999998E-2</v>
      </c>
      <c r="E5" s="197">
        <v>3.1199999999999999E-2</v>
      </c>
      <c r="F5" s="198">
        <v>1.29E-2</v>
      </c>
      <c r="G5" s="199">
        <v>2.8000000000000001E-2</v>
      </c>
      <c r="I5" s="189">
        <v>3.0099999999999998E-2</v>
      </c>
      <c r="J5" s="189">
        <v>3.1199999999999999E-2</v>
      </c>
      <c r="K5" s="189">
        <v>1.29E-2</v>
      </c>
      <c r="L5" s="189">
        <v>2.8000000000000001E-2</v>
      </c>
      <c r="N5" s="187"/>
      <c r="O5" s="187"/>
      <c r="P5" s="187"/>
      <c r="Q5" s="187"/>
    </row>
    <row r="6" spans="2:17" x14ac:dyDescent="0.35">
      <c r="B6" s="190" t="s">
        <v>168</v>
      </c>
      <c r="C6" s="182">
        <v>0.35</v>
      </c>
      <c r="D6" s="183">
        <v>0.33979999999999999</v>
      </c>
      <c r="E6" s="183">
        <v>0.32950000000000002</v>
      </c>
      <c r="F6" s="183">
        <v>0.32529999999999998</v>
      </c>
      <c r="G6" s="191">
        <v>0.31640000000000001</v>
      </c>
      <c r="I6" s="349">
        <f>C6/(1+I$5)</f>
        <v>0.33977283758858362</v>
      </c>
      <c r="J6" s="349">
        <f>D6/(1+J$5)</f>
        <v>0.32951900698215675</v>
      </c>
      <c r="K6" s="349">
        <f t="shared" ref="K6:L6" si="0">E6/(1+K$5)</f>
        <v>0.32530358376937513</v>
      </c>
      <c r="L6" s="349">
        <f t="shared" si="0"/>
        <v>0.31643968871595329</v>
      </c>
      <c r="N6" s="187"/>
      <c r="O6" s="187"/>
      <c r="P6" s="187"/>
      <c r="Q6" s="187"/>
    </row>
    <row r="7" spans="2:17" x14ac:dyDescent="0.35">
      <c r="B7" s="190" t="s">
        <v>169</v>
      </c>
      <c r="C7" s="182">
        <v>0.5</v>
      </c>
      <c r="D7" s="183">
        <v>0.4854</v>
      </c>
      <c r="E7" s="183">
        <v>0.47070000000000001</v>
      </c>
      <c r="F7" s="183">
        <v>0.4647</v>
      </c>
      <c r="G7" s="191">
        <v>0.45200000000000001</v>
      </c>
      <c r="I7" s="349">
        <f t="shared" ref="I7:I9" si="1">C7/(1+I$5)</f>
        <v>0.48538976798369088</v>
      </c>
      <c r="J7" s="349">
        <f t="shared" ref="J7:J10" si="2">D7/(1+J$5)</f>
        <v>0.47071373157486429</v>
      </c>
      <c r="K7" s="349">
        <f t="shared" ref="K7:K10" si="3">E7/(1+K$5)</f>
        <v>0.46470530160924084</v>
      </c>
      <c r="L7" s="349">
        <f t="shared" ref="L7:L10" si="4">F7/(1+L$5)</f>
        <v>0.45204280155642024</v>
      </c>
      <c r="N7" s="187"/>
      <c r="O7" s="187"/>
      <c r="P7" s="187"/>
      <c r="Q7" s="187"/>
    </row>
    <row r="8" spans="2:17" x14ac:dyDescent="0.35">
      <c r="B8" s="190" t="s">
        <v>170</v>
      </c>
      <c r="C8" s="182">
        <v>0.8</v>
      </c>
      <c r="D8" s="183">
        <v>0.77659999999999996</v>
      </c>
      <c r="E8" s="183">
        <v>0.75309999999999999</v>
      </c>
      <c r="F8" s="183">
        <v>0.74350000000000005</v>
      </c>
      <c r="G8" s="191">
        <v>0.72319999999999995</v>
      </c>
      <c r="I8" s="349">
        <f t="shared" si="1"/>
        <v>0.77662362877390545</v>
      </c>
      <c r="J8" s="349">
        <f t="shared" si="2"/>
        <v>0.75310318076027927</v>
      </c>
      <c r="K8" s="349">
        <f t="shared" si="3"/>
        <v>0.74350873728897227</v>
      </c>
      <c r="L8" s="349">
        <f t="shared" si="4"/>
        <v>0.72324902723735407</v>
      </c>
      <c r="N8" s="187"/>
      <c r="O8" s="187"/>
      <c r="P8" s="187"/>
      <c r="Q8" s="187"/>
    </row>
    <row r="9" spans="2:17" x14ac:dyDescent="0.35">
      <c r="B9" s="190" t="s">
        <v>171</v>
      </c>
      <c r="C9" s="1048">
        <v>0.95</v>
      </c>
      <c r="D9" s="183">
        <v>0.92190000000000005</v>
      </c>
      <c r="E9" s="183">
        <v>0.89400000000000002</v>
      </c>
      <c r="F9" s="183">
        <v>0.88139999999999996</v>
      </c>
      <c r="G9" s="191">
        <v>0.85740000000000005</v>
      </c>
      <c r="I9" s="349">
        <f t="shared" si="1"/>
        <v>0.92224055916901271</v>
      </c>
      <c r="J9" s="349">
        <f t="shared" si="2"/>
        <v>0.89400698215671082</v>
      </c>
      <c r="K9" s="349">
        <f t="shared" si="3"/>
        <v>0.88261427584164287</v>
      </c>
      <c r="L9" s="349">
        <f t="shared" si="4"/>
        <v>0.85739299610894937</v>
      </c>
      <c r="N9" s="187"/>
      <c r="O9" s="187"/>
      <c r="P9" s="187"/>
      <c r="Q9" s="187"/>
    </row>
    <row r="10" spans="2:17" ht="15" thickBot="1" x14ac:dyDescent="0.4">
      <c r="B10" s="192" t="s">
        <v>172</v>
      </c>
      <c r="C10" s="1049"/>
      <c r="D10" s="193">
        <v>0.91690000000000005</v>
      </c>
      <c r="E10" s="193">
        <v>0.8891</v>
      </c>
      <c r="F10" s="193">
        <v>0.87429999999999997</v>
      </c>
      <c r="G10" s="194">
        <v>0.85050000000000003</v>
      </c>
      <c r="I10" s="349"/>
      <c r="J10" s="349">
        <f t="shared" si="2"/>
        <v>0.88915826221877436</v>
      </c>
      <c r="K10" s="349">
        <f t="shared" si="3"/>
        <v>0.87777668081745486</v>
      </c>
      <c r="L10" s="349">
        <f t="shared" si="4"/>
        <v>0.85048638132295717</v>
      </c>
      <c r="N10" s="187"/>
      <c r="O10" s="187"/>
      <c r="P10" s="187"/>
      <c r="Q10" s="187"/>
    </row>
    <row r="11" spans="2:17" x14ac:dyDescent="0.35">
      <c r="B11" s="184"/>
      <c r="C11" s="185"/>
      <c r="D11" s="186"/>
      <c r="E11" s="186"/>
      <c r="F11" s="186"/>
    </row>
    <row r="12" spans="2:17" ht="23.5" x14ac:dyDescent="0.55000000000000004">
      <c r="B12" s="66" t="s">
        <v>51</v>
      </c>
    </row>
    <row r="13" spans="2:17" ht="15" thickBot="1" x14ac:dyDescent="0.4"/>
    <row r="14" spans="2:17" ht="58.5" thickBot="1" x14ac:dyDescent="0.4">
      <c r="B14" s="106"/>
      <c r="C14" s="37" t="s">
        <v>11</v>
      </c>
      <c r="D14" s="37" t="s">
        <v>52</v>
      </c>
      <c r="E14" s="38" t="s">
        <v>10</v>
      </c>
      <c r="F14" s="38" t="s">
        <v>12</v>
      </c>
    </row>
    <row r="15" spans="2:17" ht="15" thickBot="1" x14ac:dyDescent="0.4">
      <c r="B15" s="38" t="s">
        <v>239</v>
      </c>
      <c r="C15" s="37">
        <v>1</v>
      </c>
      <c r="D15" s="37" t="s">
        <v>53</v>
      </c>
      <c r="E15" s="39">
        <v>11180</v>
      </c>
      <c r="F15" s="39">
        <v>78</v>
      </c>
    </row>
    <row r="16" spans="2:17" ht="15" thickBot="1" x14ac:dyDescent="0.4">
      <c r="B16" s="107" t="s">
        <v>238</v>
      </c>
      <c r="C16" s="37">
        <v>2</v>
      </c>
      <c r="D16" s="37" t="s">
        <v>54</v>
      </c>
      <c r="E16" s="39">
        <v>8385</v>
      </c>
      <c r="F16" s="39">
        <v>58.5</v>
      </c>
    </row>
    <row r="17" spans="2:17" ht="15" thickBot="1" x14ac:dyDescent="0.4">
      <c r="B17" s="38" t="s">
        <v>237</v>
      </c>
      <c r="C17" s="37">
        <v>3</v>
      </c>
      <c r="D17" s="37" t="s">
        <v>55</v>
      </c>
      <c r="E17" s="39">
        <v>5948.5</v>
      </c>
      <c r="F17" s="39">
        <v>41.5</v>
      </c>
    </row>
    <row r="18" spans="2:17" ht="29.5" thickBot="1" x14ac:dyDescent="0.4">
      <c r="B18" s="107" t="s">
        <v>240</v>
      </c>
      <c r="C18" s="37">
        <v>4</v>
      </c>
      <c r="D18" s="37" t="s">
        <v>128</v>
      </c>
      <c r="E18" s="39">
        <v>4586.5</v>
      </c>
      <c r="F18" s="39">
        <v>32</v>
      </c>
    </row>
    <row r="19" spans="2:17" ht="15" thickBot="1" x14ac:dyDescent="0.4">
      <c r="B19" s="38" t="s">
        <v>241</v>
      </c>
      <c r="C19" s="40">
        <v>5</v>
      </c>
      <c r="D19" s="41" t="s">
        <v>50</v>
      </c>
      <c r="E19" s="42">
        <v>2508.5</v>
      </c>
      <c r="F19" s="42">
        <v>17.5</v>
      </c>
    </row>
    <row r="20" spans="2:17" x14ac:dyDescent="0.35">
      <c r="B20" s="65"/>
      <c r="C20" s="4"/>
      <c r="D20" s="36"/>
      <c r="E20" s="36"/>
    </row>
    <row r="21" spans="2:17" x14ac:dyDescent="0.35">
      <c r="B21" s="3" t="s">
        <v>59</v>
      </c>
      <c r="C21" s="4"/>
      <c r="D21" s="36"/>
      <c r="E21" s="36"/>
    </row>
    <row r="22" spans="2:17" x14ac:dyDescent="0.35">
      <c r="B22" s="65"/>
      <c r="C22" s="4"/>
      <c r="D22" s="36"/>
      <c r="E22" s="36"/>
    </row>
    <row r="23" spans="2:17" ht="23.5" x14ac:dyDescent="0.55000000000000004">
      <c r="B23" s="66" t="s">
        <v>15</v>
      </c>
    </row>
    <row r="24" spans="2:17" ht="15" thickBot="1" x14ac:dyDescent="0.4"/>
    <row r="25" spans="2:17" ht="58.5" thickBot="1" x14ac:dyDescent="0.4">
      <c r="C25" s="37" t="s">
        <v>11</v>
      </c>
      <c r="D25" s="37" t="s">
        <v>52</v>
      </c>
      <c r="E25" s="38" t="s">
        <v>10</v>
      </c>
      <c r="F25" s="38" t="s">
        <v>12</v>
      </c>
    </row>
    <row r="26" spans="2:17" ht="15" thickBot="1" x14ac:dyDescent="0.4">
      <c r="B26" s="106" t="s">
        <v>242</v>
      </c>
      <c r="C26" s="37">
        <v>1</v>
      </c>
      <c r="D26" s="37" t="s">
        <v>129</v>
      </c>
      <c r="E26" s="39">
        <v>9340</v>
      </c>
      <c r="F26" s="39">
        <v>67</v>
      </c>
      <c r="I26" s="46"/>
      <c r="J26" s="46"/>
      <c r="K26" s="12"/>
      <c r="L26" s="3"/>
      <c r="M26" s="3"/>
      <c r="N26" s="47"/>
      <c r="O26" s="46"/>
      <c r="P26" s="46"/>
      <c r="Q26" s="12"/>
    </row>
    <row r="27" spans="2:17" ht="15" thickBot="1" x14ac:dyDescent="0.4">
      <c r="B27" s="38" t="s">
        <v>243</v>
      </c>
      <c r="C27" s="37">
        <v>2</v>
      </c>
      <c r="D27" s="37" t="s">
        <v>13</v>
      </c>
      <c r="E27" s="39">
        <v>6150</v>
      </c>
      <c r="F27" s="39">
        <v>44</v>
      </c>
      <c r="I27" s="11"/>
      <c r="J27" s="11"/>
      <c r="K27" s="12"/>
      <c r="L27" s="3"/>
      <c r="M27" s="3"/>
      <c r="N27" s="10"/>
      <c r="O27" s="11"/>
      <c r="P27" s="11"/>
      <c r="Q27" s="12"/>
    </row>
    <row r="28" spans="2:17" ht="15" thickBot="1" x14ac:dyDescent="0.4">
      <c r="B28" s="38" t="s">
        <v>244</v>
      </c>
      <c r="C28" s="37">
        <v>3</v>
      </c>
      <c r="D28" s="37" t="s">
        <v>130</v>
      </c>
      <c r="E28" s="39">
        <v>4248</v>
      </c>
      <c r="F28" s="39">
        <v>30</v>
      </c>
      <c r="I28" s="11"/>
      <c r="J28" s="11"/>
      <c r="K28" s="12"/>
      <c r="L28" s="3"/>
      <c r="M28" s="3"/>
      <c r="N28" s="10"/>
      <c r="O28" s="11"/>
      <c r="P28" s="11"/>
      <c r="Q28" s="12"/>
    </row>
    <row r="29" spans="2:17" ht="15" thickBot="1" x14ac:dyDescent="0.4">
      <c r="B29" s="108" t="s">
        <v>245</v>
      </c>
      <c r="C29" s="37">
        <v>4</v>
      </c>
      <c r="D29" s="37" t="s">
        <v>131</v>
      </c>
      <c r="E29" s="39">
        <v>3111</v>
      </c>
      <c r="F29" s="39">
        <v>22</v>
      </c>
      <c r="I29" s="11"/>
      <c r="J29" s="11"/>
      <c r="K29" s="12"/>
      <c r="L29" s="3"/>
      <c r="M29" s="3"/>
      <c r="N29" s="10"/>
      <c r="O29" s="11"/>
      <c r="P29" s="11"/>
      <c r="Q29" s="12"/>
    </row>
    <row r="30" spans="2:17" ht="15" thickBot="1" x14ac:dyDescent="0.4">
      <c r="B30" s="65"/>
      <c r="C30" s="4"/>
      <c r="D30" s="36"/>
      <c r="E30" s="36"/>
    </row>
    <row r="31" spans="2:17" x14ac:dyDescent="0.35">
      <c r="B31" s="169" t="s">
        <v>60</v>
      </c>
      <c r="C31" s="51"/>
      <c r="D31" s="170"/>
      <c r="E31" s="170"/>
      <c r="F31" s="51"/>
      <c r="G31" s="52"/>
    </row>
    <row r="32" spans="2:17" x14ac:dyDescent="0.35">
      <c r="B32" s="171" t="s">
        <v>17</v>
      </c>
      <c r="C32" s="4"/>
      <c r="D32" s="36"/>
      <c r="E32" s="36"/>
      <c r="F32" s="4"/>
      <c r="G32" s="54"/>
    </row>
    <row r="33" spans="2:7" x14ac:dyDescent="0.35">
      <c r="B33" s="171" t="s">
        <v>18</v>
      </c>
      <c r="C33" s="4"/>
      <c r="D33" s="36"/>
      <c r="E33" s="36"/>
      <c r="F33" s="4"/>
      <c r="G33" s="54"/>
    </row>
    <row r="34" spans="2:7" ht="15" thickBot="1" x14ac:dyDescent="0.4">
      <c r="B34" s="172" t="s">
        <v>40</v>
      </c>
      <c r="C34" s="5"/>
      <c r="D34" s="173"/>
      <c r="E34" s="173"/>
      <c r="F34" s="5"/>
      <c r="G34" s="58"/>
    </row>
    <row r="35" spans="2:7" x14ac:dyDescent="0.35">
      <c r="B35" s="65"/>
      <c r="C35" s="4"/>
      <c r="D35" s="36"/>
      <c r="E35" s="36"/>
    </row>
    <row r="37" spans="2:7" ht="24.65" customHeight="1" x14ac:dyDescent="0.5">
      <c r="B37" s="67" t="s">
        <v>16</v>
      </c>
      <c r="C37" s="94"/>
    </row>
    <row r="38" spans="2:7" ht="15" thickBot="1" x14ac:dyDescent="0.4">
      <c r="B38" s="3"/>
      <c r="C38" s="3"/>
      <c r="D38" s="3"/>
      <c r="E38" s="3"/>
      <c r="F38" s="3"/>
    </row>
    <row r="39" spans="2:7" x14ac:dyDescent="0.35">
      <c r="B39" s="87"/>
      <c r="C39" s="857" t="s">
        <v>14</v>
      </c>
      <c r="D39" s="858" t="s">
        <v>50</v>
      </c>
      <c r="F39" s="855"/>
    </row>
    <row r="40" spans="2:7" x14ac:dyDescent="0.35">
      <c r="B40" s="76" t="s">
        <v>676</v>
      </c>
      <c r="C40" s="72">
        <v>13.5</v>
      </c>
      <c r="D40" s="859">
        <v>10.79</v>
      </c>
      <c r="F40" s="44"/>
    </row>
    <row r="41" spans="2:7" x14ac:dyDescent="0.35">
      <c r="B41" s="76" t="s">
        <v>677</v>
      </c>
      <c r="C41" s="72">
        <v>15</v>
      </c>
      <c r="D41" s="859">
        <v>12</v>
      </c>
      <c r="F41" s="44"/>
    </row>
    <row r="42" spans="2:7" x14ac:dyDescent="0.35">
      <c r="B42" s="76" t="s">
        <v>678</v>
      </c>
      <c r="C42" s="44">
        <v>9.9500000000000005E-2</v>
      </c>
      <c r="D42" s="70"/>
      <c r="E42" s="44"/>
      <c r="F42" s="44"/>
    </row>
    <row r="43" spans="2:7" x14ac:dyDescent="0.35">
      <c r="B43" s="76" t="s">
        <v>679</v>
      </c>
      <c r="C43" s="44">
        <v>0.2928</v>
      </c>
      <c r="D43" s="70"/>
      <c r="E43" s="44"/>
      <c r="F43" s="44"/>
    </row>
    <row r="44" spans="2:7" x14ac:dyDescent="0.35">
      <c r="B44" s="76" t="s">
        <v>680</v>
      </c>
      <c r="C44" s="853">
        <v>450</v>
      </c>
      <c r="D44" s="70"/>
      <c r="E44" s="44"/>
      <c r="F44" s="44"/>
    </row>
    <row r="45" spans="2:7" ht="15" thickBot="1" x14ac:dyDescent="0.4">
      <c r="B45" s="79" t="s">
        <v>681</v>
      </c>
      <c r="C45" s="860">
        <v>520</v>
      </c>
      <c r="D45" s="861"/>
      <c r="E45" s="862" t="s">
        <v>685</v>
      </c>
      <c r="F45" s="44"/>
    </row>
    <row r="46" spans="2:7" x14ac:dyDescent="0.35">
      <c r="B46" s="20"/>
      <c r="C46" s="853"/>
      <c r="D46" s="44"/>
      <c r="E46" s="44"/>
      <c r="F46" s="44"/>
    </row>
    <row r="47" spans="2:7" ht="15" thickBot="1" x14ac:dyDescent="0.4">
      <c r="B47" s="1"/>
    </row>
    <row r="48" spans="2:7" x14ac:dyDescent="0.35">
      <c r="B48" s="13" t="s">
        <v>26</v>
      </c>
      <c r="C48" s="18">
        <v>19</v>
      </c>
    </row>
    <row r="49" spans="2:9" ht="15" thickBot="1" x14ac:dyDescent="0.4">
      <c r="B49" s="17" t="s">
        <v>27</v>
      </c>
      <c r="C49" s="19">
        <v>4.3479999999999999</v>
      </c>
    </row>
    <row r="50" spans="2:9" ht="15" thickBot="1" x14ac:dyDescent="0.4">
      <c r="B50" s="20"/>
      <c r="C50" s="21"/>
    </row>
    <row r="51" spans="2:9" ht="43.5" x14ac:dyDescent="0.35">
      <c r="B51" s="22" t="s">
        <v>28</v>
      </c>
      <c r="C51" s="14" t="s">
        <v>29</v>
      </c>
      <c r="D51" s="14" t="s">
        <v>30</v>
      </c>
      <c r="E51" s="15" t="s">
        <v>31</v>
      </c>
    </row>
    <row r="52" spans="2:9" x14ac:dyDescent="0.35">
      <c r="B52" s="16" t="s">
        <v>32</v>
      </c>
      <c r="C52" s="23" t="s">
        <v>50</v>
      </c>
      <c r="D52" s="6">
        <v>10</v>
      </c>
      <c r="E52" s="24">
        <v>19</v>
      </c>
    </row>
    <row r="53" spans="2:9" ht="15" thickBot="1" x14ac:dyDescent="0.4">
      <c r="B53" s="17" t="s">
        <v>33</v>
      </c>
      <c r="C53" s="25" t="s">
        <v>14</v>
      </c>
      <c r="D53" s="9">
        <v>8</v>
      </c>
      <c r="E53" s="26">
        <v>19</v>
      </c>
    </row>
    <row r="56" spans="2:9" ht="23.5" x14ac:dyDescent="0.55000000000000004">
      <c r="B56" s="66" t="s">
        <v>93</v>
      </c>
    </row>
    <row r="57" spans="2:9" ht="15" thickBot="1" x14ac:dyDescent="0.4">
      <c r="F57" s="4"/>
      <c r="G57" s="4"/>
      <c r="H57" s="4"/>
      <c r="I57" s="4"/>
    </row>
    <row r="58" spans="2:9" x14ac:dyDescent="0.35">
      <c r="B58" s="13" t="s">
        <v>4</v>
      </c>
      <c r="C58" s="51" t="s">
        <v>56</v>
      </c>
      <c r="D58" s="51"/>
      <c r="E58" s="52"/>
      <c r="F58" s="4"/>
      <c r="G58" s="4"/>
      <c r="H58" s="4"/>
      <c r="I58" s="4"/>
    </row>
    <row r="59" spans="2:9" x14ac:dyDescent="0.35">
      <c r="B59" s="53" t="s">
        <v>5</v>
      </c>
      <c r="C59" s="62">
        <v>9.2999999999999999E-2</v>
      </c>
      <c r="D59" s="4"/>
      <c r="E59" s="54"/>
      <c r="F59" s="43"/>
      <c r="G59" s="4"/>
      <c r="H59" s="4"/>
      <c r="I59" s="4"/>
    </row>
    <row r="60" spans="2:9" x14ac:dyDescent="0.35">
      <c r="B60" s="53" t="s">
        <v>6</v>
      </c>
      <c r="C60" s="62">
        <v>1.2E-2</v>
      </c>
      <c r="D60" s="4"/>
      <c r="E60" s="54"/>
      <c r="F60" s="43"/>
      <c r="G60" s="4"/>
      <c r="H60" s="4"/>
      <c r="I60" s="4"/>
    </row>
    <row r="61" spans="2:9" x14ac:dyDescent="0.35">
      <c r="B61" s="53" t="s">
        <v>7</v>
      </c>
      <c r="C61" s="62">
        <v>7.9000000000000001E-2</v>
      </c>
      <c r="D61" s="43" t="s">
        <v>61</v>
      </c>
      <c r="E61" s="54"/>
      <c r="G61" s="4"/>
      <c r="H61" s="4"/>
      <c r="I61" s="4"/>
    </row>
    <row r="62" spans="2:9" x14ac:dyDescent="0.35">
      <c r="B62" s="53" t="s">
        <v>8</v>
      </c>
      <c r="C62" s="62">
        <v>1.525E-2</v>
      </c>
      <c r="D62" s="43"/>
      <c r="E62" s="54"/>
      <c r="G62" s="4"/>
      <c r="H62" s="4"/>
      <c r="I62" s="4"/>
    </row>
    <row r="63" spans="2:9" x14ac:dyDescent="0.35">
      <c r="B63" s="53" t="s">
        <v>57</v>
      </c>
      <c r="C63" s="62">
        <v>2.75E-2</v>
      </c>
      <c r="D63" s="43" t="s">
        <v>62</v>
      </c>
      <c r="E63" s="54"/>
      <c r="G63" s="4"/>
      <c r="H63" s="4"/>
      <c r="I63" s="4"/>
    </row>
    <row r="64" spans="2:9" x14ac:dyDescent="0.35">
      <c r="B64" s="55" t="s">
        <v>9</v>
      </c>
      <c r="C64" s="63">
        <v>1.5E-3</v>
      </c>
      <c r="D64" s="43"/>
      <c r="E64" s="69"/>
      <c r="F64" s="4"/>
      <c r="G64" s="4"/>
      <c r="H64" s="4"/>
      <c r="I64" s="4"/>
    </row>
    <row r="65" spans="2:9" x14ac:dyDescent="0.35">
      <c r="B65" s="71" t="s">
        <v>58</v>
      </c>
      <c r="C65" s="348">
        <f>SUM(C59:C64)</f>
        <v>0.22824999999999998</v>
      </c>
      <c r="D65" s="36"/>
      <c r="E65" s="54"/>
      <c r="G65" s="4"/>
      <c r="H65" s="4"/>
      <c r="I65" s="4"/>
    </row>
    <row r="66" spans="2:9" x14ac:dyDescent="0.35">
      <c r="B66" s="56"/>
      <c r="C66" s="4"/>
      <c r="D66" s="44"/>
      <c r="E66" s="70"/>
      <c r="F66" s="4"/>
      <c r="G66" s="4"/>
      <c r="H66" s="4"/>
      <c r="I66" s="4"/>
    </row>
    <row r="67" spans="2:9" x14ac:dyDescent="0.35">
      <c r="B67" s="55" t="s">
        <v>2</v>
      </c>
      <c r="C67" s="8">
        <v>6.4500000000000002E-2</v>
      </c>
      <c r="D67" s="44"/>
      <c r="E67" s="70"/>
      <c r="F67" s="4"/>
      <c r="G67" s="4"/>
      <c r="H67" s="4"/>
      <c r="I67" s="4"/>
    </row>
    <row r="68" spans="2:9" x14ac:dyDescent="0.35">
      <c r="B68" s="55" t="s">
        <v>46</v>
      </c>
      <c r="C68" s="61">
        <v>6.65</v>
      </c>
      <c r="D68" s="44"/>
      <c r="E68" s="70"/>
      <c r="F68" s="4"/>
      <c r="G68" s="4"/>
      <c r="H68" s="4"/>
      <c r="I68" s="4"/>
    </row>
    <row r="69" spans="2:9" x14ac:dyDescent="0.35">
      <c r="B69" s="55" t="s">
        <v>3</v>
      </c>
      <c r="C69" s="61">
        <v>21.05</v>
      </c>
      <c r="D69" s="44"/>
      <c r="E69" s="70"/>
      <c r="F69" s="4"/>
      <c r="G69" s="4"/>
      <c r="H69" s="4"/>
      <c r="I69" s="4"/>
    </row>
    <row r="70" spans="2:9" x14ac:dyDescent="0.35">
      <c r="B70" s="56"/>
      <c r="C70" s="4"/>
      <c r="D70" s="44"/>
      <c r="E70" s="70"/>
      <c r="F70" s="4"/>
      <c r="G70" s="4"/>
      <c r="H70" s="4"/>
      <c r="I70" s="4"/>
    </row>
    <row r="71" spans="2:9" ht="15" thickBot="1" x14ac:dyDescent="0.4">
      <c r="B71" s="57" t="s">
        <v>70</v>
      </c>
      <c r="C71" s="5"/>
      <c r="D71" s="5"/>
      <c r="E71" s="58"/>
      <c r="F71" s="4"/>
      <c r="G71" s="4"/>
      <c r="H71" s="4"/>
      <c r="I71" s="4"/>
    </row>
    <row r="73" spans="2:9" ht="23.5" x14ac:dyDescent="0.55000000000000004">
      <c r="B73" s="66" t="s">
        <v>94</v>
      </c>
    </row>
    <row r="74" spans="2:9" ht="15" thickBot="1" x14ac:dyDescent="0.4"/>
    <row r="75" spans="2:9" x14ac:dyDescent="0.35">
      <c r="B75" s="87" t="s">
        <v>97</v>
      </c>
      <c r="C75" s="88" t="s">
        <v>98</v>
      </c>
      <c r="D75" s="51"/>
      <c r="E75" s="52"/>
    </row>
    <row r="76" spans="2:9" x14ac:dyDescent="0.35">
      <c r="B76" s="74">
        <v>2022</v>
      </c>
      <c r="C76" s="4">
        <v>0</v>
      </c>
      <c r="D76" s="4" t="s">
        <v>96</v>
      </c>
      <c r="E76" s="54"/>
    </row>
    <row r="77" spans="2:9" x14ac:dyDescent="0.35">
      <c r="B77" s="74">
        <v>2023</v>
      </c>
      <c r="C77" s="4">
        <v>0</v>
      </c>
      <c r="D77" s="4" t="s">
        <v>96</v>
      </c>
      <c r="E77" s="54"/>
    </row>
    <row r="78" spans="2:9" x14ac:dyDescent="0.35">
      <c r="B78" s="74">
        <v>2024</v>
      </c>
      <c r="C78" s="44">
        <v>2.3E-2</v>
      </c>
      <c r="D78" s="4" t="s">
        <v>95</v>
      </c>
      <c r="E78" s="54"/>
    </row>
    <row r="79" spans="2:9" x14ac:dyDescent="0.35">
      <c r="B79" s="74">
        <v>2025</v>
      </c>
      <c r="C79" s="44">
        <v>2.3E-2</v>
      </c>
      <c r="D79" s="4" t="s">
        <v>95</v>
      </c>
      <c r="E79" s="54"/>
    </row>
    <row r="80" spans="2:9" x14ac:dyDescent="0.35">
      <c r="B80" s="74">
        <v>2026</v>
      </c>
      <c r="C80" s="44">
        <v>2.3E-2</v>
      </c>
      <c r="D80" s="4" t="s">
        <v>95</v>
      </c>
      <c r="E80" s="54"/>
    </row>
    <row r="81" spans="2:5" x14ac:dyDescent="0.35">
      <c r="B81" s="74">
        <v>2027</v>
      </c>
      <c r="C81" s="44">
        <v>2.3E-2</v>
      </c>
      <c r="D81" s="4" t="s">
        <v>95</v>
      </c>
      <c r="E81" s="54"/>
    </row>
    <row r="82" spans="2:5" ht="15" thickBot="1" x14ac:dyDescent="0.4">
      <c r="B82" s="92">
        <v>2028</v>
      </c>
      <c r="C82" s="93">
        <v>2.3E-2</v>
      </c>
      <c r="D82" s="5" t="s">
        <v>95</v>
      </c>
      <c r="E82" s="58"/>
    </row>
    <row r="85" spans="2:5" ht="24" customHeight="1" x14ac:dyDescent="0.5">
      <c r="B85" s="68" t="s">
        <v>67</v>
      </c>
    </row>
    <row r="86" spans="2:5" ht="15" thickBot="1" x14ac:dyDescent="0.4">
      <c r="B86" s="3"/>
      <c r="C86" s="3"/>
    </row>
    <row r="87" spans="2:5" x14ac:dyDescent="0.35">
      <c r="B87" s="96" t="s">
        <v>43</v>
      </c>
      <c r="C87" s="97">
        <v>1650</v>
      </c>
    </row>
    <row r="88" spans="2:5" x14ac:dyDescent="0.35">
      <c r="B88" s="98" t="s">
        <v>15</v>
      </c>
      <c r="C88" s="24">
        <v>1650</v>
      </c>
    </row>
    <row r="89" spans="2:5" x14ac:dyDescent="0.35">
      <c r="B89" s="99" t="s">
        <v>44</v>
      </c>
      <c r="C89" s="100">
        <v>1650</v>
      </c>
    </row>
    <row r="90" spans="2:5" x14ac:dyDescent="0.35">
      <c r="B90" s="98" t="s">
        <v>603</v>
      </c>
      <c r="C90" s="24">
        <v>1720</v>
      </c>
    </row>
    <row r="91" spans="2:5" x14ac:dyDescent="0.35">
      <c r="B91" s="98" t="s">
        <v>51</v>
      </c>
      <c r="C91" s="24">
        <v>1720</v>
      </c>
    </row>
    <row r="92" spans="2:5" x14ac:dyDescent="0.35">
      <c r="B92" s="99" t="s">
        <v>45</v>
      </c>
      <c r="C92" s="24">
        <v>1650</v>
      </c>
    </row>
    <row r="93" spans="2:5" x14ac:dyDescent="0.35">
      <c r="B93" s="101" t="s">
        <v>48</v>
      </c>
      <c r="C93" s="102">
        <v>39.832999999999998</v>
      </c>
    </row>
    <row r="94" spans="2:5" ht="15" thickBot="1" x14ac:dyDescent="0.4">
      <c r="B94" s="103" t="s">
        <v>68</v>
      </c>
      <c r="C94" s="347">
        <f>C90/8</f>
        <v>215</v>
      </c>
    </row>
    <row r="97" spans="2:11" ht="21" x14ac:dyDescent="0.5">
      <c r="B97" s="68" t="s">
        <v>118</v>
      </c>
    </row>
    <row r="98" spans="2:11" ht="15" thickBot="1" x14ac:dyDescent="0.4"/>
    <row r="99" spans="2:11" x14ac:dyDescent="0.35">
      <c r="B99" s="73" t="s">
        <v>43</v>
      </c>
      <c r="C99" s="51" t="s">
        <v>72</v>
      </c>
      <c r="D99" s="51">
        <v>6</v>
      </c>
      <c r="E99" s="51" t="s">
        <v>91</v>
      </c>
      <c r="F99" s="51">
        <v>1</v>
      </c>
      <c r="G99" s="52" t="s">
        <v>231</v>
      </c>
      <c r="H99" s="246" t="s">
        <v>210</v>
      </c>
      <c r="I99" s="246" t="s">
        <v>50</v>
      </c>
      <c r="J99" s="246" t="s">
        <v>218</v>
      </c>
      <c r="K99" s="3"/>
    </row>
    <row r="100" spans="2:11" x14ac:dyDescent="0.35">
      <c r="B100" s="74" t="s">
        <v>100</v>
      </c>
      <c r="C100" s="4" t="s">
        <v>73</v>
      </c>
      <c r="D100" s="4">
        <v>5</v>
      </c>
      <c r="E100" s="4" t="s">
        <v>92</v>
      </c>
      <c r="F100" s="4">
        <v>2</v>
      </c>
      <c r="G100" s="54" t="s">
        <v>204</v>
      </c>
      <c r="H100" s="247" t="s">
        <v>211</v>
      </c>
      <c r="I100" s="247" t="s">
        <v>14</v>
      </c>
      <c r="J100" s="247" t="s">
        <v>219</v>
      </c>
      <c r="K100" s="3"/>
    </row>
    <row r="101" spans="2:11" x14ac:dyDescent="0.35">
      <c r="B101" s="74" t="s">
        <v>45</v>
      </c>
      <c r="C101" s="4" t="s">
        <v>74</v>
      </c>
      <c r="D101" s="4">
        <v>4</v>
      </c>
      <c r="E101" s="4">
        <v>2024</v>
      </c>
      <c r="F101" s="4">
        <v>3</v>
      </c>
      <c r="G101" s="54"/>
      <c r="H101" s="107"/>
      <c r="I101" s="107"/>
      <c r="J101" s="107"/>
    </row>
    <row r="102" spans="2:11" x14ac:dyDescent="0.35">
      <c r="B102" s="74" t="s">
        <v>15</v>
      </c>
      <c r="C102" s="4" t="s">
        <v>75</v>
      </c>
      <c r="D102" s="4">
        <v>3</v>
      </c>
      <c r="E102" s="4">
        <v>2025</v>
      </c>
      <c r="F102" s="3">
        <v>4</v>
      </c>
      <c r="G102" s="54"/>
      <c r="H102" s="107"/>
      <c r="I102" s="107"/>
      <c r="J102" s="107"/>
    </row>
    <row r="103" spans="2:11" x14ac:dyDescent="0.35">
      <c r="B103" s="74" t="s">
        <v>51</v>
      </c>
      <c r="C103" s="4" t="s">
        <v>76</v>
      </c>
      <c r="D103" s="4">
        <v>2</v>
      </c>
      <c r="E103" s="4">
        <v>2026</v>
      </c>
      <c r="F103" s="3">
        <v>5</v>
      </c>
      <c r="G103" s="54"/>
      <c r="H103" s="107"/>
      <c r="I103" s="107"/>
      <c r="J103" s="107"/>
    </row>
    <row r="104" spans="2:11" x14ac:dyDescent="0.35">
      <c r="B104" s="74" t="s">
        <v>101</v>
      </c>
      <c r="C104" s="4" t="s">
        <v>77</v>
      </c>
      <c r="D104" s="4">
        <v>1</v>
      </c>
      <c r="E104" s="4">
        <v>2027</v>
      </c>
      <c r="F104" s="3">
        <v>6</v>
      </c>
      <c r="G104" s="54"/>
      <c r="H104" s="107"/>
      <c r="I104" s="107"/>
      <c r="J104" s="107"/>
    </row>
    <row r="105" spans="2:11" x14ac:dyDescent="0.35">
      <c r="B105" s="74" t="s">
        <v>102</v>
      </c>
      <c r="C105" s="4" t="s">
        <v>78</v>
      </c>
      <c r="D105" s="4"/>
      <c r="E105" s="4">
        <v>2028</v>
      </c>
      <c r="F105" s="3">
        <v>7</v>
      </c>
      <c r="G105" s="54"/>
      <c r="H105" s="107"/>
      <c r="I105" s="107"/>
      <c r="J105" s="107"/>
    </row>
    <row r="106" spans="2:11" x14ac:dyDescent="0.35">
      <c r="B106" s="74"/>
      <c r="C106" s="4" t="s">
        <v>79</v>
      </c>
      <c r="D106" s="4"/>
      <c r="E106" s="4"/>
      <c r="F106" s="3">
        <v>8</v>
      </c>
      <c r="G106" s="54"/>
      <c r="H106" s="107"/>
      <c r="I106" s="107"/>
      <c r="J106" s="107"/>
    </row>
    <row r="107" spans="2:11" x14ac:dyDescent="0.35">
      <c r="B107" s="74"/>
      <c r="C107" s="4" t="s">
        <v>80</v>
      </c>
      <c r="D107" s="4"/>
      <c r="E107" s="4"/>
      <c r="F107" s="3">
        <v>9</v>
      </c>
      <c r="G107" s="54"/>
      <c r="H107" s="107"/>
      <c r="I107" s="107"/>
      <c r="J107" s="107"/>
    </row>
    <row r="108" spans="2:11" x14ac:dyDescent="0.35">
      <c r="B108" s="74"/>
      <c r="C108" s="4" t="s">
        <v>81</v>
      </c>
      <c r="D108" s="4"/>
      <c r="E108" s="4"/>
      <c r="F108" s="3">
        <v>10</v>
      </c>
      <c r="G108" s="54"/>
      <c r="H108" s="107"/>
      <c r="I108" s="107"/>
      <c r="J108" s="107"/>
    </row>
    <row r="109" spans="2:11" x14ac:dyDescent="0.35">
      <c r="B109" s="74" t="s">
        <v>101</v>
      </c>
      <c r="C109" s="4" t="s">
        <v>82</v>
      </c>
      <c r="D109" s="4"/>
      <c r="E109" s="4"/>
      <c r="F109" s="3">
        <v>12</v>
      </c>
      <c r="G109" s="54"/>
      <c r="H109" s="107"/>
      <c r="I109" s="107"/>
      <c r="J109" s="107"/>
    </row>
    <row r="110" spans="2:11" x14ac:dyDescent="0.35">
      <c r="B110" s="74" t="s">
        <v>15</v>
      </c>
      <c r="C110" s="4" t="s">
        <v>83</v>
      </c>
      <c r="D110" s="4"/>
      <c r="E110" s="4"/>
      <c r="F110" s="3">
        <v>13</v>
      </c>
      <c r="G110" s="54"/>
      <c r="H110" s="107"/>
      <c r="I110" s="107"/>
      <c r="J110" s="107"/>
    </row>
    <row r="111" spans="2:11" x14ac:dyDescent="0.35">
      <c r="B111" s="74" t="s">
        <v>51</v>
      </c>
      <c r="C111" s="4" t="s">
        <v>84</v>
      </c>
      <c r="D111" s="4"/>
      <c r="E111" s="4"/>
      <c r="F111" s="3">
        <v>14</v>
      </c>
      <c r="G111" s="54"/>
      <c r="H111" s="107"/>
      <c r="I111" s="107"/>
      <c r="J111" s="107"/>
    </row>
    <row r="112" spans="2:11" x14ac:dyDescent="0.35">
      <c r="B112" s="74"/>
      <c r="C112" s="4" t="s">
        <v>85</v>
      </c>
      <c r="D112" s="4"/>
      <c r="E112" s="4"/>
      <c r="F112" s="3">
        <v>15</v>
      </c>
      <c r="G112" s="54"/>
      <c r="H112" s="107"/>
      <c r="I112" s="107"/>
      <c r="J112" s="107"/>
    </row>
    <row r="113" spans="2:10" x14ac:dyDescent="0.35">
      <c r="B113" s="74"/>
      <c r="C113" s="4" t="s">
        <v>86</v>
      </c>
      <c r="D113" s="4"/>
      <c r="E113" s="4"/>
      <c r="F113" s="3">
        <v>16</v>
      </c>
      <c r="G113" s="54"/>
      <c r="H113" s="107"/>
      <c r="I113" s="107"/>
      <c r="J113" s="107"/>
    </row>
    <row r="114" spans="2:10" x14ac:dyDescent="0.35">
      <c r="B114" s="74"/>
      <c r="C114" s="4" t="s">
        <v>87</v>
      </c>
      <c r="D114" s="4"/>
      <c r="E114" s="4"/>
      <c r="F114" s="3">
        <v>17</v>
      </c>
      <c r="G114" s="54"/>
      <c r="H114" s="107"/>
      <c r="I114" s="107"/>
      <c r="J114" s="107"/>
    </row>
    <row r="115" spans="2:10" x14ac:dyDescent="0.35">
      <c r="B115" s="74"/>
      <c r="C115" s="4" t="s">
        <v>88</v>
      </c>
      <c r="D115" s="4"/>
      <c r="E115" s="4"/>
      <c r="F115" s="3">
        <v>18</v>
      </c>
      <c r="G115" s="54"/>
      <c r="H115" s="107"/>
      <c r="I115" s="107"/>
      <c r="J115" s="107"/>
    </row>
    <row r="116" spans="2:10" x14ac:dyDescent="0.35">
      <c r="B116" s="74"/>
      <c r="C116" s="4" t="s">
        <v>89</v>
      </c>
      <c r="D116" s="4"/>
      <c r="E116" s="4"/>
      <c r="F116" s="3">
        <v>19</v>
      </c>
      <c r="G116" s="54"/>
      <c r="H116" s="107"/>
      <c r="I116" s="107"/>
      <c r="J116" s="107"/>
    </row>
    <row r="117" spans="2:10" ht="15" thickBot="1" x14ac:dyDescent="0.4">
      <c r="B117" s="92"/>
      <c r="C117" s="5" t="s">
        <v>119</v>
      </c>
      <c r="D117" s="5"/>
      <c r="E117" s="5"/>
      <c r="F117" s="5">
        <v>20</v>
      </c>
      <c r="G117" s="58"/>
      <c r="H117" s="108"/>
      <c r="I117" s="108"/>
      <c r="J117" s="108"/>
    </row>
    <row r="119" spans="2:10" ht="21" x14ac:dyDescent="0.5">
      <c r="B119" s="68" t="s">
        <v>120</v>
      </c>
      <c r="C119" s="4"/>
      <c r="D119" s="4"/>
      <c r="E119" s="4"/>
      <c r="F119" s="4"/>
      <c r="G119" s="4"/>
    </row>
    <row r="120" spans="2:10" ht="21.5" thickBot="1" x14ac:dyDescent="0.55000000000000004">
      <c r="B120" s="68"/>
      <c r="C120" s="4"/>
      <c r="D120" s="4"/>
      <c r="E120" s="4"/>
      <c r="F120" s="4"/>
      <c r="G120" s="4"/>
    </row>
    <row r="121" spans="2:10" x14ac:dyDescent="0.35">
      <c r="B121" s="73" t="s">
        <v>121</v>
      </c>
      <c r="C121" s="109">
        <v>7.0000000000000007E-2</v>
      </c>
      <c r="D121" s="4"/>
      <c r="E121" s="4"/>
      <c r="F121" s="4"/>
      <c r="G121" s="4"/>
    </row>
    <row r="122" spans="2:10" x14ac:dyDescent="0.35">
      <c r="B122" s="74"/>
      <c r="C122" s="54"/>
      <c r="D122" s="4"/>
      <c r="E122" s="4"/>
      <c r="F122" s="4"/>
      <c r="G122" s="4"/>
    </row>
    <row r="123" spans="2:10" x14ac:dyDescent="0.35">
      <c r="B123" s="74"/>
      <c r="C123" s="54"/>
      <c r="D123" s="4"/>
      <c r="E123" s="4"/>
      <c r="F123" s="4"/>
      <c r="G123" s="4"/>
    </row>
    <row r="124" spans="2:10" x14ac:dyDescent="0.35">
      <c r="B124" s="74"/>
      <c r="C124" s="54"/>
      <c r="D124" s="4"/>
      <c r="E124" s="4"/>
      <c r="F124" s="4"/>
      <c r="G124" s="4"/>
    </row>
    <row r="125" spans="2:10" ht="15" thickBot="1" x14ac:dyDescent="0.4">
      <c r="B125" s="92"/>
      <c r="C125" s="58"/>
      <c r="D125" s="4"/>
      <c r="E125" s="4"/>
      <c r="F125" s="4"/>
      <c r="G125" s="4"/>
    </row>
    <row r="126" spans="2:10" x14ac:dyDescent="0.35">
      <c r="B126" s="4"/>
      <c r="C126" s="4"/>
      <c r="D126" s="4"/>
      <c r="E126" s="4"/>
      <c r="F126" s="4"/>
      <c r="G126" s="4"/>
    </row>
    <row r="128" spans="2:10" ht="21" x14ac:dyDescent="0.5">
      <c r="B128" s="68" t="s">
        <v>101</v>
      </c>
      <c r="C128" s="4"/>
    </row>
    <row r="129" spans="2:8" ht="21.5" thickBot="1" x14ac:dyDescent="0.55000000000000004">
      <c r="B129" s="68"/>
      <c r="C129" s="4"/>
    </row>
    <row r="130" spans="2:8" x14ac:dyDescent="0.35">
      <c r="B130" s="115" t="s">
        <v>248</v>
      </c>
      <c r="C130" s="110">
        <v>111000</v>
      </c>
      <c r="D130" s="110">
        <v>9250</v>
      </c>
      <c r="E130" s="51" t="s">
        <v>139</v>
      </c>
      <c r="F130" s="51"/>
      <c r="G130" s="52"/>
      <c r="H130" s="95"/>
    </row>
    <row r="131" spans="2:8" x14ac:dyDescent="0.35">
      <c r="B131" s="116" t="s">
        <v>249</v>
      </c>
      <c r="C131" s="72">
        <v>91800</v>
      </c>
      <c r="D131" s="72">
        <v>7650</v>
      </c>
      <c r="E131" s="4" t="s">
        <v>138</v>
      </c>
      <c r="F131" s="4" t="s">
        <v>140</v>
      </c>
      <c r="G131" s="54"/>
      <c r="H131" s="95"/>
    </row>
    <row r="132" spans="2:8" x14ac:dyDescent="0.35">
      <c r="B132" s="116" t="s">
        <v>250</v>
      </c>
      <c r="C132" s="72">
        <v>77400</v>
      </c>
      <c r="D132" s="72">
        <v>6450</v>
      </c>
      <c r="E132" s="4" t="s">
        <v>137</v>
      </c>
      <c r="F132" s="4" t="s">
        <v>141</v>
      </c>
      <c r="G132" s="54"/>
      <c r="H132" s="95"/>
    </row>
    <row r="133" spans="2:8" x14ac:dyDescent="0.35">
      <c r="B133" s="116" t="s">
        <v>251</v>
      </c>
      <c r="C133" s="72">
        <v>99300</v>
      </c>
      <c r="D133" s="72">
        <v>8275</v>
      </c>
      <c r="E133" s="4" t="s">
        <v>136</v>
      </c>
      <c r="F133" s="4" t="s">
        <v>142</v>
      </c>
      <c r="G133" s="54"/>
      <c r="H133" s="95"/>
    </row>
    <row r="134" spans="2:8" x14ac:dyDescent="0.35">
      <c r="B134" s="116" t="s">
        <v>252</v>
      </c>
      <c r="C134" s="72">
        <v>71700</v>
      </c>
      <c r="D134" s="72">
        <v>5975</v>
      </c>
      <c r="E134" s="4" t="s">
        <v>135</v>
      </c>
      <c r="F134" s="4" t="s">
        <v>143</v>
      </c>
      <c r="G134" s="54"/>
      <c r="H134" s="95"/>
    </row>
    <row r="135" spans="2:8" x14ac:dyDescent="0.35">
      <c r="B135" s="117" t="s">
        <v>253</v>
      </c>
      <c r="C135" s="111">
        <v>59700</v>
      </c>
      <c r="D135" s="72">
        <v>4975</v>
      </c>
      <c r="E135" s="4" t="s">
        <v>134</v>
      </c>
      <c r="F135" s="4" t="s">
        <v>145</v>
      </c>
      <c r="G135" s="54"/>
      <c r="H135" s="95"/>
    </row>
    <row r="136" spans="2:8" x14ac:dyDescent="0.35">
      <c r="B136" s="117" t="s">
        <v>254</v>
      </c>
      <c r="C136" s="111">
        <v>52800</v>
      </c>
      <c r="D136" s="72">
        <v>4400</v>
      </c>
      <c r="E136" s="4" t="s">
        <v>133</v>
      </c>
      <c r="F136" s="4" t="s">
        <v>144</v>
      </c>
      <c r="G136" s="54"/>
      <c r="H136" s="95"/>
    </row>
    <row r="137" spans="2:8" ht="15" thickBot="1" x14ac:dyDescent="0.4">
      <c r="B137" s="118" t="s">
        <v>255</v>
      </c>
      <c r="C137" s="112">
        <v>0</v>
      </c>
      <c r="D137" s="113">
        <v>0</v>
      </c>
      <c r="E137" s="5"/>
      <c r="F137" s="5" t="s">
        <v>132</v>
      </c>
      <c r="G137" s="58"/>
    </row>
    <row r="139" spans="2:8" ht="21" x14ac:dyDescent="0.5">
      <c r="B139" s="68" t="s">
        <v>45</v>
      </c>
    </row>
    <row r="140" spans="2:8" ht="15" thickBot="1" x14ac:dyDescent="0.4"/>
    <row r="141" spans="2:8" ht="76.900000000000006" customHeight="1" thickBot="1" x14ac:dyDescent="0.4">
      <c r="B141" s="1041" t="s">
        <v>152</v>
      </c>
      <c r="C141" s="1042"/>
      <c r="D141" s="1042"/>
      <c r="E141" s="1042"/>
      <c r="F141" s="1042"/>
      <c r="G141" s="1043"/>
    </row>
    <row r="142" spans="2:8" ht="16.5" customHeight="1" thickBot="1" x14ac:dyDescent="0.4">
      <c r="B142" s="903"/>
      <c r="C142" s="903"/>
      <c r="D142" s="903"/>
      <c r="E142" s="903"/>
      <c r="F142" s="903"/>
      <c r="G142" s="903"/>
    </row>
    <row r="143" spans="2:8" ht="16.5" customHeight="1" x14ac:dyDescent="0.35">
      <c r="B143" s="904">
        <v>0</v>
      </c>
      <c r="C143" s="903"/>
      <c r="D143" s="903"/>
      <c r="E143" s="903"/>
      <c r="F143" s="903"/>
      <c r="G143" s="903"/>
    </row>
    <row r="144" spans="2:8" ht="16.5" customHeight="1" thickBot="1" x14ac:dyDescent="0.4">
      <c r="B144" s="905">
        <v>12</v>
      </c>
      <c r="C144" s="903"/>
      <c r="D144" s="903"/>
      <c r="E144" s="903"/>
      <c r="F144" s="903"/>
      <c r="G144" s="903"/>
    </row>
    <row r="146" spans="2:6" ht="21" x14ac:dyDescent="0.5">
      <c r="B146" s="68" t="s">
        <v>216</v>
      </c>
    </row>
    <row r="147" spans="2:6" ht="15" thickBot="1" x14ac:dyDescent="0.4"/>
    <row r="148" spans="2:6" ht="15" thickBot="1" x14ac:dyDescent="0.4">
      <c r="B148" s="249" t="s">
        <v>217</v>
      </c>
      <c r="C148" s="262">
        <v>0.7</v>
      </c>
    </row>
    <row r="150" spans="2:6" ht="23.5" x14ac:dyDescent="0.55000000000000004">
      <c r="B150" s="66" t="s">
        <v>247</v>
      </c>
    </row>
    <row r="151" spans="2:6" ht="15" thickBot="1" x14ac:dyDescent="0.4"/>
    <row r="152" spans="2:6" ht="15" thickBot="1" x14ac:dyDescent="0.4">
      <c r="B152" s="344" t="s">
        <v>11</v>
      </c>
      <c r="C152" s="106" t="s">
        <v>10</v>
      </c>
      <c r="D152" s="106" t="s">
        <v>12</v>
      </c>
      <c r="E152" s="4"/>
      <c r="F152" s="4"/>
    </row>
    <row r="153" spans="2:6" x14ac:dyDescent="0.35">
      <c r="B153" s="169" t="s">
        <v>272</v>
      </c>
      <c r="C153" s="345">
        <f t="shared" ref="C153:D157" si="5">E15</f>
        <v>11180</v>
      </c>
      <c r="D153" s="396">
        <f t="shared" si="5"/>
        <v>78</v>
      </c>
      <c r="E153" s="4"/>
      <c r="F153" s="43"/>
    </row>
    <row r="154" spans="2:6" x14ac:dyDescent="0.35">
      <c r="B154" s="364" t="s">
        <v>256</v>
      </c>
      <c r="C154" s="346">
        <f t="shared" si="5"/>
        <v>8385</v>
      </c>
      <c r="D154" s="397">
        <f t="shared" si="5"/>
        <v>58.5</v>
      </c>
      <c r="E154" s="4"/>
      <c r="F154" s="43"/>
    </row>
    <row r="155" spans="2:6" x14ac:dyDescent="0.35">
      <c r="B155" s="364" t="s">
        <v>257</v>
      </c>
      <c r="C155" s="346">
        <f t="shared" si="5"/>
        <v>5948.5</v>
      </c>
      <c r="D155" s="397">
        <f t="shared" si="5"/>
        <v>41.5</v>
      </c>
      <c r="E155" s="4"/>
      <c r="F155" s="43"/>
    </row>
    <row r="156" spans="2:6" x14ac:dyDescent="0.35">
      <c r="B156" s="364" t="s">
        <v>258</v>
      </c>
      <c r="C156" s="346">
        <f t="shared" si="5"/>
        <v>4586.5</v>
      </c>
      <c r="D156" s="397">
        <f t="shared" si="5"/>
        <v>32</v>
      </c>
      <c r="E156" s="4"/>
      <c r="F156" s="43"/>
    </row>
    <row r="157" spans="2:6" x14ac:dyDescent="0.35">
      <c r="B157" s="364" t="s">
        <v>259</v>
      </c>
      <c r="C157" s="346">
        <f t="shared" si="5"/>
        <v>2508.5</v>
      </c>
      <c r="D157" s="397">
        <f t="shared" si="5"/>
        <v>17.5</v>
      </c>
      <c r="E157" s="4"/>
      <c r="F157" s="36"/>
    </row>
    <row r="158" spans="2:6" x14ac:dyDescent="0.35">
      <c r="B158" s="364" t="s">
        <v>260</v>
      </c>
      <c r="C158" s="346">
        <f t="shared" ref="C158:D161" si="6">E26</f>
        <v>9340</v>
      </c>
      <c r="D158" s="397">
        <f t="shared" si="6"/>
        <v>67</v>
      </c>
      <c r="E158" s="4"/>
      <c r="F158" s="43"/>
    </row>
    <row r="159" spans="2:6" x14ac:dyDescent="0.35">
      <c r="B159" s="364" t="s">
        <v>261</v>
      </c>
      <c r="C159" s="346">
        <f t="shared" si="6"/>
        <v>6150</v>
      </c>
      <c r="D159" s="397">
        <f t="shared" si="6"/>
        <v>44</v>
      </c>
      <c r="E159" s="4"/>
      <c r="F159" s="43"/>
    </row>
    <row r="160" spans="2:6" x14ac:dyDescent="0.35">
      <c r="B160" s="364" t="s">
        <v>262</v>
      </c>
      <c r="C160" s="346">
        <f t="shared" si="6"/>
        <v>4248</v>
      </c>
      <c r="D160" s="397">
        <f t="shared" si="6"/>
        <v>30</v>
      </c>
      <c r="E160" s="4"/>
      <c r="F160" s="43"/>
    </row>
    <row r="161" spans="2:6" ht="15" thickBot="1" x14ac:dyDescent="0.4">
      <c r="B161" s="364" t="s">
        <v>263</v>
      </c>
      <c r="C161" s="346">
        <f t="shared" si="6"/>
        <v>3111</v>
      </c>
      <c r="D161" s="398">
        <f t="shared" si="6"/>
        <v>22</v>
      </c>
      <c r="E161" s="4"/>
      <c r="F161" s="43"/>
    </row>
    <row r="162" spans="2:6" x14ac:dyDescent="0.35">
      <c r="B162" s="117" t="s">
        <v>264</v>
      </c>
      <c r="C162" s="352">
        <f>D130</f>
        <v>9250</v>
      </c>
      <c r="E162" s="4"/>
      <c r="F162" s="43"/>
    </row>
    <row r="163" spans="2:6" x14ac:dyDescent="0.35">
      <c r="B163" s="117" t="s">
        <v>265</v>
      </c>
      <c r="C163" s="352">
        <f t="shared" ref="C163:C169" si="7">D131</f>
        <v>7650</v>
      </c>
      <c r="E163" s="4"/>
      <c r="F163" s="43"/>
    </row>
    <row r="164" spans="2:6" x14ac:dyDescent="0.35">
      <c r="B164" s="117" t="s">
        <v>266</v>
      </c>
      <c r="C164" s="352">
        <f t="shared" si="7"/>
        <v>6450</v>
      </c>
      <c r="E164" s="4"/>
      <c r="F164" s="43"/>
    </row>
    <row r="165" spans="2:6" x14ac:dyDescent="0.35">
      <c r="B165" s="117" t="s">
        <v>267</v>
      </c>
      <c r="C165" s="352">
        <f t="shared" si="7"/>
        <v>8275</v>
      </c>
      <c r="E165" s="4"/>
      <c r="F165" s="43"/>
    </row>
    <row r="166" spans="2:6" x14ac:dyDescent="0.35">
      <c r="B166" s="117" t="s">
        <v>268</v>
      </c>
      <c r="C166" s="352">
        <f t="shared" si="7"/>
        <v>5975</v>
      </c>
      <c r="E166" s="4"/>
      <c r="F166" s="43"/>
    </row>
    <row r="167" spans="2:6" x14ac:dyDescent="0.35">
      <c r="B167" s="117" t="s">
        <v>269</v>
      </c>
      <c r="C167" s="352">
        <f t="shared" si="7"/>
        <v>4975</v>
      </c>
      <c r="E167" s="4"/>
      <c r="F167" s="43"/>
    </row>
    <row r="168" spans="2:6" x14ac:dyDescent="0.35">
      <c r="B168" s="117" t="s">
        <v>270</v>
      </c>
      <c r="C168" s="352">
        <f t="shared" si="7"/>
        <v>4400</v>
      </c>
      <c r="E168" s="4"/>
      <c r="F168" s="43"/>
    </row>
    <row r="169" spans="2:6" ht="15" thickBot="1" x14ac:dyDescent="0.4">
      <c r="B169" s="118" t="s">
        <v>271</v>
      </c>
      <c r="C169" s="353">
        <f t="shared" si="7"/>
        <v>0</v>
      </c>
      <c r="E169" s="4"/>
      <c r="F169" s="43"/>
    </row>
    <row r="170" spans="2:6" x14ac:dyDescent="0.35">
      <c r="B170" s="4"/>
      <c r="C170" s="343"/>
      <c r="D170" s="343"/>
      <c r="E170" s="43"/>
      <c r="F170" s="43"/>
    </row>
    <row r="171" spans="2:6" x14ac:dyDescent="0.35">
      <c r="B171" s="4"/>
      <c r="C171" s="343"/>
      <c r="D171" s="343"/>
      <c r="E171" s="43"/>
      <c r="F171" s="43"/>
    </row>
    <row r="172" spans="2:6" ht="23.5" x14ac:dyDescent="0.55000000000000004">
      <c r="B172" s="408" t="s">
        <v>279</v>
      </c>
      <c r="C172" s="343"/>
      <c r="D172" s="343"/>
      <c r="E172" s="43"/>
      <c r="F172" s="43"/>
    </row>
    <row r="173" spans="2:6" ht="24" thickBot="1" x14ac:dyDescent="0.6">
      <c r="B173" s="408"/>
      <c r="C173" s="343"/>
      <c r="D173" s="343"/>
      <c r="E173" s="43"/>
      <c r="F173" s="43"/>
    </row>
    <row r="174" spans="2:6" x14ac:dyDescent="0.35">
      <c r="B174" s="246" t="s">
        <v>277</v>
      </c>
      <c r="C174" s="343"/>
      <c r="D174" s="343"/>
      <c r="E174" s="43"/>
      <c r="F174" s="43"/>
    </row>
    <row r="175" spans="2:6" ht="15" thickBot="1" x14ac:dyDescent="0.4">
      <c r="B175" s="407" t="s">
        <v>278</v>
      </c>
      <c r="C175" s="343"/>
      <c r="D175" s="343"/>
      <c r="E175" s="43"/>
      <c r="F175" s="43"/>
    </row>
    <row r="176" spans="2:6" x14ac:dyDescent="0.35">
      <c r="B176" s="4"/>
      <c r="C176" s="343"/>
      <c r="D176" s="343"/>
      <c r="E176" s="43"/>
      <c r="F176" s="43"/>
    </row>
    <row r="177" spans="1:6" ht="23.5" x14ac:dyDescent="0.55000000000000004">
      <c r="B177" s="408" t="s">
        <v>606</v>
      </c>
      <c r="C177" s="343"/>
      <c r="D177" s="343"/>
      <c r="E177" s="43"/>
      <c r="F177" s="43"/>
    </row>
    <row r="178" spans="1:6" ht="15" thickBot="1" x14ac:dyDescent="0.4">
      <c r="B178" s="4"/>
      <c r="C178" s="343"/>
      <c r="D178" s="343"/>
      <c r="E178" s="43"/>
      <c r="F178" s="43"/>
    </row>
    <row r="179" spans="1:6" x14ac:dyDescent="0.35">
      <c r="B179" s="73" t="s">
        <v>613</v>
      </c>
      <c r="C179" s="629" t="s">
        <v>612</v>
      </c>
      <c r="D179" s="343"/>
      <c r="E179" s="43"/>
      <c r="F179" s="43"/>
    </row>
    <row r="180" spans="1:6" ht="15" thickBot="1" x14ac:dyDescent="0.4">
      <c r="B180" s="92" t="s">
        <v>611</v>
      </c>
      <c r="C180" s="627">
        <v>0.4</v>
      </c>
      <c r="D180" s="343"/>
      <c r="E180" s="43"/>
      <c r="F180" s="43"/>
    </row>
    <row r="181" spans="1:6" x14ac:dyDescent="0.35">
      <c r="B181" s="169" t="s">
        <v>607</v>
      </c>
      <c r="C181" s="625">
        <v>0.25</v>
      </c>
      <c r="D181" s="343"/>
      <c r="E181" s="43"/>
      <c r="F181" s="43"/>
    </row>
    <row r="182" spans="1:6" x14ac:dyDescent="0.35">
      <c r="B182" s="364" t="s">
        <v>608</v>
      </c>
      <c r="C182" s="623">
        <v>0.25</v>
      </c>
      <c r="D182" s="343"/>
      <c r="E182" s="43"/>
      <c r="F182" s="43"/>
    </row>
    <row r="183" spans="1:6" x14ac:dyDescent="0.35">
      <c r="B183" s="364" t="s">
        <v>609</v>
      </c>
      <c r="C183" s="624">
        <v>0.15</v>
      </c>
    </row>
    <row r="184" spans="1:6" x14ac:dyDescent="0.35">
      <c r="B184" s="364" t="s">
        <v>610</v>
      </c>
      <c r="C184" s="626">
        <v>0.15</v>
      </c>
    </row>
    <row r="185" spans="1:6" ht="15" thickBot="1" x14ac:dyDescent="0.4">
      <c r="B185" s="92" t="s">
        <v>622</v>
      </c>
      <c r="C185" s="627">
        <v>0.15</v>
      </c>
    </row>
    <row r="188" spans="1:6" ht="21" x14ac:dyDescent="0.5">
      <c r="A188" s="2" t="s">
        <v>66</v>
      </c>
      <c r="B188" s="2" t="s">
        <v>64</v>
      </c>
      <c r="C188" s="3"/>
      <c r="D188" s="3"/>
      <c r="E188" s="3"/>
    </row>
    <row r="189" spans="1:6" x14ac:dyDescent="0.35">
      <c r="A189" s="60" t="s">
        <v>160</v>
      </c>
      <c r="B189" s="652" t="s">
        <v>633</v>
      </c>
      <c r="C189" s="3"/>
      <c r="D189" s="3"/>
      <c r="E189" s="3"/>
    </row>
    <row r="190" spans="1:6" x14ac:dyDescent="0.35">
      <c r="A190" s="60"/>
      <c r="B190" s="652"/>
      <c r="C190" s="3"/>
      <c r="D190" s="3"/>
      <c r="E190" s="3"/>
    </row>
    <row r="191" spans="1:6" x14ac:dyDescent="0.35">
      <c r="A191" s="60"/>
      <c r="C191" s="3"/>
      <c r="D191" s="3"/>
      <c r="E191" s="3"/>
    </row>
    <row r="192" spans="1:6" x14ac:dyDescent="0.35">
      <c r="A192" s="60"/>
      <c r="B192" s="60"/>
      <c r="C192" s="3"/>
      <c r="D192" s="3"/>
      <c r="E192" s="3"/>
    </row>
    <row r="193" spans="1:5" x14ac:dyDescent="0.35">
      <c r="A193" s="60" t="s">
        <v>596</v>
      </c>
      <c r="B193" s="60" t="s">
        <v>597</v>
      </c>
      <c r="C193" s="3"/>
      <c r="D193" s="3"/>
      <c r="E193" s="3"/>
    </row>
    <row r="194" spans="1:5" x14ac:dyDescent="0.35">
      <c r="A194" s="60"/>
      <c r="B194" s="60" t="s">
        <v>598</v>
      </c>
      <c r="C194" s="3"/>
      <c r="D194" s="3"/>
      <c r="E194" s="3"/>
    </row>
    <row r="195" spans="1:5" x14ac:dyDescent="0.35">
      <c r="A195" s="60"/>
      <c r="B195" s="60" t="s">
        <v>599</v>
      </c>
      <c r="C195" s="3"/>
      <c r="D195" s="3"/>
      <c r="E195" s="3"/>
    </row>
    <row r="196" spans="1:5" x14ac:dyDescent="0.35">
      <c r="A196" s="60"/>
      <c r="B196" s="619" t="s">
        <v>600</v>
      </c>
      <c r="C196" s="3"/>
      <c r="D196" s="3"/>
      <c r="E196" s="3"/>
    </row>
    <row r="197" spans="1:5" x14ac:dyDescent="0.35">
      <c r="A197" s="60"/>
      <c r="B197" s="60" t="s">
        <v>629</v>
      </c>
      <c r="C197" s="3"/>
      <c r="D197" s="3"/>
      <c r="E197" s="3"/>
    </row>
    <row r="198" spans="1:5" x14ac:dyDescent="0.35">
      <c r="A198" s="60"/>
      <c r="B198" s="619" t="s">
        <v>630</v>
      </c>
      <c r="C198" s="3"/>
      <c r="D198" s="3"/>
      <c r="E198" s="3"/>
    </row>
    <row r="199" spans="1:5" x14ac:dyDescent="0.35">
      <c r="A199" s="60"/>
      <c r="B199" s="619" t="s">
        <v>631</v>
      </c>
      <c r="C199" s="3"/>
      <c r="D199" s="3"/>
      <c r="E199" s="3"/>
    </row>
    <row r="200" spans="1:5" x14ac:dyDescent="0.35">
      <c r="A200" s="60"/>
      <c r="B200" s="60" t="s">
        <v>634</v>
      </c>
      <c r="C200" s="3"/>
      <c r="D200" s="3"/>
      <c r="E200" s="3"/>
    </row>
    <row r="201" spans="1:5" x14ac:dyDescent="0.35">
      <c r="A201" s="60"/>
      <c r="B201" s="60" t="s">
        <v>666</v>
      </c>
      <c r="C201" s="3"/>
      <c r="D201" s="3"/>
      <c r="E201" s="3"/>
    </row>
    <row r="202" spans="1:5" x14ac:dyDescent="0.35">
      <c r="A202" s="60"/>
      <c r="B202" s="852" t="s">
        <v>674</v>
      </c>
      <c r="C202" s="3"/>
      <c r="D202" s="3"/>
      <c r="E202" s="3"/>
    </row>
    <row r="203" spans="1:5" x14ac:dyDescent="0.35">
      <c r="A203" s="60"/>
      <c r="B203" s="852" t="s">
        <v>632</v>
      </c>
      <c r="C203" s="3"/>
      <c r="D203" s="3"/>
      <c r="E203" s="3"/>
    </row>
    <row r="204" spans="1:5" x14ac:dyDescent="0.35">
      <c r="A204" s="60"/>
      <c r="B204" s="852" t="s">
        <v>675</v>
      </c>
      <c r="C204" s="3"/>
      <c r="D204" s="3"/>
      <c r="E204" s="3"/>
    </row>
    <row r="205" spans="1:5" x14ac:dyDescent="0.35">
      <c r="A205" s="60"/>
      <c r="B205" s="60"/>
      <c r="C205" s="3"/>
      <c r="D205" s="3"/>
      <c r="E205" s="3"/>
    </row>
    <row r="206" spans="1:5" x14ac:dyDescent="0.35">
      <c r="A206" s="60" t="s">
        <v>275</v>
      </c>
      <c r="B206" s="60" t="s">
        <v>233</v>
      </c>
      <c r="C206" s="3"/>
      <c r="D206" s="3"/>
      <c r="E206" s="3"/>
    </row>
    <row r="207" spans="1:5" x14ac:dyDescent="0.35">
      <c r="A207" s="60"/>
      <c r="B207" s="60" t="s">
        <v>234</v>
      </c>
      <c r="C207" s="3"/>
      <c r="D207" s="3"/>
      <c r="E207" s="3"/>
    </row>
    <row r="208" spans="1:5" x14ac:dyDescent="0.35">
      <c r="A208" s="60"/>
      <c r="B208" s="60"/>
      <c r="C208" s="3"/>
      <c r="D208" s="3"/>
      <c r="E208" s="3"/>
    </row>
    <row r="209" spans="1:5" x14ac:dyDescent="0.35">
      <c r="A209" s="60" t="s">
        <v>153</v>
      </c>
      <c r="B209" t="s">
        <v>154</v>
      </c>
    </row>
    <row r="210" spans="1:5" x14ac:dyDescent="0.35">
      <c r="B210" t="s">
        <v>155</v>
      </c>
    </row>
    <row r="211" spans="1:5" x14ac:dyDescent="0.35">
      <c r="B211" t="s">
        <v>156</v>
      </c>
    </row>
    <row r="212" spans="1:5" ht="28.15" customHeight="1" x14ac:dyDescent="0.35">
      <c r="B212" s="1044" t="s">
        <v>164</v>
      </c>
      <c r="C212" s="1044"/>
      <c r="D212" s="1044"/>
      <c r="E212" s="1044"/>
    </row>
    <row r="213" spans="1:5" x14ac:dyDescent="0.35">
      <c r="B213" t="s">
        <v>157</v>
      </c>
    </row>
    <row r="214" spans="1:5" x14ac:dyDescent="0.35">
      <c r="B214" t="s">
        <v>158</v>
      </c>
    </row>
    <row r="215" spans="1:5" x14ac:dyDescent="0.35">
      <c r="B215" t="s">
        <v>163</v>
      </c>
    </row>
    <row r="216" spans="1:5" x14ac:dyDescent="0.35">
      <c r="B216" t="s">
        <v>165</v>
      </c>
    </row>
    <row r="217" spans="1:5" x14ac:dyDescent="0.35">
      <c r="B217" t="s">
        <v>166</v>
      </c>
    </row>
    <row r="219" spans="1:5" x14ac:dyDescent="0.35">
      <c r="A219" s="60" t="s">
        <v>65</v>
      </c>
      <c r="B219" s="1040" t="s">
        <v>69</v>
      </c>
      <c r="C219" s="1040"/>
      <c r="D219" s="1040"/>
      <c r="E219" s="1040"/>
    </row>
    <row r="220" spans="1:5" x14ac:dyDescent="0.35">
      <c r="B220" s="1040"/>
      <c r="C220" s="1040"/>
      <c r="D220" s="1040"/>
      <c r="E220" s="1040"/>
    </row>
    <row r="221" spans="1:5" x14ac:dyDescent="0.35">
      <c r="B221" s="1040"/>
      <c r="C221" s="1040"/>
      <c r="D221" s="1040"/>
      <c r="E221" s="1040"/>
    </row>
    <row r="222" spans="1:5" x14ac:dyDescent="0.35">
      <c r="B222" s="1040"/>
      <c r="C222" s="1040"/>
      <c r="D222" s="1040"/>
      <c r="E222" s="1040"/>
    </row>
    <row r="223" spans="1:5" x14ac:dyDescent="0.35">
      <c r="B223" s="1040"/>
      <c r="C223" s="1040"/>
      <c r="D223" s="1040"/>
      <c r="E223" s="1040"/>
    </row>
    <row r="224" spans="1:5" x14ac:dyDescent="0.35">
      <c r="B224" s="1040"/>
      <c r="C224" s="1040"/>
      <c r="D224" s="1040"/>
      <c r="E224" s="1040"/>
    </row>
    <row r="225" spans="2:5" x14ac:dyDescent="0.35">
      <c r="B225" s="1040"/>
      <c r="C225" s="1040"/>
      <c r="D225" s="1040"/>
      <c r="E225" s="1040"/>
    </row>
  </sheetData>
  <mergeCells count="5">
    <mergeCell ref="B219:E225"/>
    <mergeCell ref="B141:G141"/>
    <mergeCell ref="B212:E212"/>
    <mergeCell ref="B3:F3"/>
    <mergeCell ref="C9:C10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6"/>
  <sheetViews>
    <sheetView topLeftCell="A7" workbookViewId="0">
      <selection activeCell="K6" sqref="K6"/>
    </sheetView>
  </sheetViews>
  <sheetFormatPr baseColWidth="10" defaultRowHeight="14.5" x14ac:dyDescent="0.35"/>
  <cols>
    <col min="1" max="1" width="36.7265625" style="1" customWidth="1"/>
    <col min="2" max="2" width="8.81640625" customWidth="1"/>
    <col min="3" max="3" width="12.453125" customWidth="1"/>
    <col min="4" max="5" width="11.1796875" customWidth="1"/>
    <col min="6" max="6" width="8.81640625" customWidth="1"/>
    <col min="7" max="9" width="5.26953125" customWidth="1"/>
    <col min="11" max="11" width="5.54296875" customWidth="1"/>
    <col min="12" max="12" width="5.7265625" customWidth="1"/>
    <col min="13" max="13" width="5.1796875" customWidth="1"/>
    <col min="15" max="16" width="6.81640625" customWidth="1"/>
    <col min="17" max="17" width="6.26953125" customWidth="1"/>
    <col min="19" max="19" width="6.26953125" customWidth="1"/>
  </cols>
  <sheetData>
    <row r="1" spans="1:26" x14ac:dyDescent="0.35">
      <c r="A1" s="1" t="s">
        <v>314</v>
      </c>
      <c r="C1" s="1"/>
      <c r="D1" s="1"/>
      <c r="E1" s="1"/>
      <c r="F1" s="1"/>
    </row>
    <row r="2" spans="1:26" x14ac:dyDescent="0.35">
      <c r="A2" s="1" t="s">
        <v>315</v>
      </c>
      <c r="B2" s="1"/>
      <c r="C2" s="1"/>
      <c r="D2" s="1"/>
      <c r="E2" s="1"/>
      <c r="F2" s="1"/>
    </row>
    <row r="3" spans="1:26" ht="15" thickBot="1" x14ac:dyDescent="0.4">
      <c r="B3" s="1"/>
      <c r="C3" s="1"/>
      <c r="D3" s="1"/>
      <c r="E3" s="1"/>
      <c r="F3" s="1"/>
    </row>
    <row r="4" spans="1:26" x14ac:dyDescent="0.35">
      <c r="A4" s="13">
        <v>1</v>
      </c>
      <c r="B4" s="245">
        <v>2</v>
      </c>
      <c r="C4" s="245">
        <v>3</v>
      </c>
      <c r="D4" s="245">
        <v>4</v>
      </c>
      <c r="E4" s="245">
        <v>5</v>
      </c>
      <c r="F4" s="438">
        <v>6</v>
      </c>
      <c r="J4" s="456"/>
      <c r="K4" s="457">
        <v>2</v>
      </c>
      <c r="L4" s="457">
        <v>3</v>
      </c>
      <c r="M4" s="457">
        <v>4</v>
      </c>
      <c r="N4" s="457"/>
      <c r="O4" s="457">
        <v>2</v>
      </c>
      <c r="P4" s="457">
        <v>3</v>
      </c>
      <c r="Q4" s="457">
        <v>4</v>
      </c>
      <c r="R4" s="457"/>
      <c r="S4" s="457">
        <v>5</v>
      </c>
      <c r="T4" s="457"/>
      <c r="U4" s="458">
        <v>5</v>
      </c>
    </row>
    <row r="5" spans="1:26" x14ac:dyDescent="0.35">
      <c r="A5" s="16"/>
      <c r="B5" s="1050" t="s">
        <v>316</v>
      </c>
      <c r="C5" s="1050"/>
      <c r="D5" s="1050"/>
      <c r="E5" s="1050" t="s">
        <v>317</v>
      </c>
      <c r="F5" s="1051"/>
      <c r="J5" s="459" t="s">
        <v>316</v>
      </c>
      <c r="K5" s="460"/>
      <c r="L5" s="460"/>
      <c r="M5" s="460"/>
      <c r="N5" s="460"/>
      <c r="O5" s="460"/>
      <c r="P5" s="460"/>
      <c r="Q5" s="460"/>
      <c r="R5" s="1052" t="s">
        <v>317</v>
      </c>
      <c r="S5" s="1052"/>
      <c r="T5" s="1052"/>
      <c r="U5" s="461"/>
    </row>
    <row r="6" spans="1:26" ht="85" x14ac:dyDescent="0.35">
      <c r="A6" s="16"/>
      <c r="B6" s="462" t="s">
        <v>318</v>
      </c>
      <c r="C6" s="462" t="s">
        <v>319</v>
      </c>
      <c r="D6" s="462" t="s">
        <v>320</v>
      </c>
      <c r="E6" s="462" t="s">
        <v>321</v>
      </c>
      <c r="F6" s="463" t="s">
        <v>322</v>
      </c>
      <c r="J6" s="464" t="s">
        <v>323</v>
      </c>
      <c r="K6" s="465" t="s">
        <v>318</v>
      </c>
      <c r="L6" s="465" t="s">
        <v>319</v>
      </c>
      <c r="M6" s="465" t="s">
        <v>320</v>
      </c>
      <c r="N6" s="466" t="s">
        <v>324</v>
      </c>
      <c r="O6" s="465" t="s">
        <v>318</v>
      </c>
      <c r="P6" s="465" t="s">
        <v>319</v>
      </c>
      <c r="Q6" s="465" t="s">
        <v>320</v>
      </c>
      <c r="R6" s="466" t="s">
        <v>323</v>
      </c>
      <c r="S6" s="466" t="s">
        <v>321</v>
      </c>
      <c r="T6" s="466" t="s">
        <v>324</v>
      </c>
      <c r="U6" s="467" t="s">
        <v>321</v>
      </c>
    </row>
    <row r="7" spans="1:26" x14ac:dyDescent="0.35">
      <c r="A7" s="16" t="s">
        <v>302</v>
      </c>
      <c r="B7" s="468">
        <v>24</v>
      </c>
      <c r="C7" s="468">
        <v>12</v>
      </c>
      <c r="D7" s="468">
        <v>6</v>
      </c>
      <c r="E7" s="61">
        <v>0</v>
      </c>
      <c r="F7" s="24">
        <v>0</v>
      </c>
      <c r="J7" s="74"/>
      <c r="K7" s="4"/>
      <c r="L7" s="4"/>
      <c r="M7" s="4"/>
      <c r="N7" s="4"/>
      <c r="O7" s="4"/>
      <c r="P7" s="4"/>
      <c r="Q7" s="4"/>
      <c r="R7" s="4"/>
      <c r="S7" s="4"/>
      <c r="T7" s="4"/>
      <c r="U7" s="54"/>
    </row>
    <row r="8" spans="1:26" x14ac:dyDescent="0.35">
      <c r="A8" s="16" t="s">
        <v>325</v>
      </c>
      <c r="B8" s="469">
        <f>0.5*(K8+O8)</f>
        <v>42</v>
      </c>
      <c r="C8" s="469">
        <f t="shared" ref="C8:D9" si="0">0.5*(L8+P8)</f>
        <v>33.5</v>
      </c>
      <c r="D8" s="469">
        <f t="shared" si="0"/>
        <v>16.5</v>
      </c>
      <c r="E8" s="469">
        <f>0.5*(S8+U8)</f>
        <v>126.5</v>
      </c>
      <c r="F8" s="470"/>
      <c r="H8" s="484" t="str">
        <f>CONCATENATE("EWR: Europäischer Wirtschaftsraum (Tagessatz (24 h; &gt;11 h; 8-11 h): Mittelwert à ", B8, " € bzw. ",C8, " € bzw. ", D8," € aus ",  V8, " und ", W8, "; Übernachtung: Mittelwert ", E8," € aus ",X8, " und ", Y8, ".)")</f>
        <v>EWR: Europäischer Wirtschaftsraum (Tagessatz (24 h; &gt;11 h; 8-11 h): Mittelwert à 42 € bzw. 33,5 € bzw. 16,5 € aus Minimum: Bulgarien: 18 €, 14 €, 7 € und Maximum: Norwegen: 66 €, 53 €, 26 €; Übernachtung: Mittelwert 126,5 € aus Minimum: Ungarn: 63 € und Maximum: Liechtenstein: 190 €.)</v>
      </c>
      <c r="J8" s="74" t="s">
        <v>326</v>
      </c>
      <c r="K8" s="481">
        <f>VLOOKUP($J$8,$A$10:$F$236,K$4)</f>
        <v>18</v>
      </c>
      <c r="L8" s="481">
        <f>VLOOKUP($J$8,$A$10:$F$236,L$4)</f>
        <v>14</v>
      </c>
      <c r="M8" s="481">
        <f>VLOOKUP($J$8,$A$10:$F$236,M$4)</f>
        <v>7</v>
      </c>
      <c r="N8" s="471" t="s">
        <v>327</v>
      </c>
      <c r="O8" s="481">
        <f>VLOOKUP($N$8,$A$10:$F$236,O$4)</f>
        <v>66</v>
      </c>
      <c r="P8" s="481">
        <f>VLOOKUP($N$8,$A$10:$F$236,P$4)</f>
        <v>53</v>
      </c>
      <c r="Q8" s="481">
        <f>VLOOKUP($N$8,$A$10:$F$236,Q$4)</f>
        <v>26</v>
      </c>
      <c r="R8" s="4" t="s">
        <v>328</v>
      </c>
      <c r="S8" s="479">
        <f>VLOOKUP($R$8,$A$10:$F$236,S$4)</f>
        <v>63</v>
      </c>
      <c r="T8" s="4" t="s">
        <v>329</v>
      </c>
      <c r="U8" s="477">
        <f>VLOOKUP($T$8,$A$10:$F$236,U$4)</f>
        <v>190</v>
      </c>
      <c r="V8" s="483" t="str">
        <f>CONCATENATE(J6, ": ", J8, ": ", K8, " €, ", L8, " €, ", M8, " €")</f>
        <v>Minimum: Bulgarien: 18 €, 14 €, 7 €</v>
      </c>
      <c r="W8" s="483" t="str">
        <f>CONCATENATE(N6, ": ", N8, ": ", O8, " €, ", P8, " €, ", Q8, " €")</f>
        <v>Maximum: Norwegen: 66 €, 53 €, 26 €</v>
      </c>
      <c r="X8" s="483" t="str">
        <f>CONCATENATE(R6, ": ", R8, ": ", S8, " €")</f>
        <v>Minimum: Ungarn: 63 €</v>
      </c>
      <c r="Y8" s="483" t="str">
        <f>CONCATENATE(T6, ": ", T8, ": ", U8, " €")</f>
        <v>Maximum: Liechtenstein: 190 €</v>
      </c>
      <c r="Z8" s="472"/>
    </row>
    <row r="9" spans="1:26" ht="15" thickBot="1" x14ac:dyDescent="0.4">
      <c r="A9" s="16" t="s">
        <v>330</v>
      </c>
      <c r="B9" s="469">
        <f>0.5*(K9+O9)</f>
        <v>41</v>
      </c>
      <c r="C9" s="469">
        <f t="shared" si="0"/>
        <v>33</v>
      </c>
      <c r="D9" s="469">
        <f t="shared" si="0"/>
        <v>16</v>
      </c>
      <c r="E9" s="469">
        <f>0.5*(S9+U9)</f>
        <v>188.5</v>
      </c>
      <c r="F9" s="470"/>
      <c r="H9" s="484" t="str">
        <f>CONCATENATE("Weltweit (Tagessatz (24 h; &gt;11 h; 8-11 h): Mittelwert à ", B9, " € bzw. ",C9, " € bzw. ", D9," € aus ",  V9, " und ", W9, "; Übernachtung: Mittelwert ", E9," € aus ",X9, " und ", Y9, ".)")</f>
        <v>Weltweit (Tagessatz (24 h; &gt;11 h; 8-11 h): Mittelwert à 41 € bzw. 33 € bzw. 16 € aus Minimum: Weißrussland: 16 €, 13 €, 6 € und Maximum: Norwegen: 66 €, 53 €, 26 €; Übernachtung: Mittelwert 188,5 € aus Minimum: Ungarn: 63 € und Maximum: Vereinigte Staaten von Amerika (USA) - San Francisco: 314 €.)</v>
      </c>
      <c r="J9" s="92" t="s">
        <v>331</v>
      </c>
      <c r="K9" s="482">
        <f>VLOOKUP($J$9,$A$10:$F$236,K$4)</f>
        <v>16</v>
      </c>
      <c r="L9" s="482">
        <f>VLOOKUP($J$9,$A$10:$F$236,L$4)</f>
        <v>13</v>
      </c>
      <c r="M9" s="482">
        <f>VLOOKUP($J$9,$A$10:$F$236,M$4)</f>
        <v>6</v>
      </c>
      <c r="N9" s="473" t="s">
        <v>327</v>
      </c>
      <c r="O9" s="482">
        <f>VLOOKUP($N$9,$A$10:$F$236,O$4)</f>
        <v>66</v>
      </c>
      <c r="P9" s="482">
        <f t="shared" ref="P9:Q9" si="1">VLOOKUP($N$9,$A$10:$F$236,P$4)</f>
        <v>53</v>
      </c>
      <c r="Q9" s="482">
        <f t="shared" si="1"/>
        <v>26</v>
      </c>
      <c r="R9" s="5" t="s">
        <v>328</v>
      </c>
      <c r="S9" s="480">
        <f>VLOOKUP($R$9,$A$10:$F$236,S$4)</f>
        <v>63</v>
      </c>
      <c r="T9" s="5" t="s">
        <v>333</v>
      </c>
      <c r="U9" s="478">
        <f>VLOOKUP($T$9,$A$10:$F$236,U$4)</f>
        <v>314</v>
      </c>
      <c r="V9" s="483" t="str">
        <f>CONCATENATE(J6, ": ", J9, ": ", K9, " €, ", L9, " €, ", M9, " €")</f>
        <v>Minimum: Weißrussland: 16 €, 13 €, 6 €</v>
      </c>
      <c r="W9" s="483" t="str">
        <f>CONCATENATE(N6, ": ", N9, ": ", O9, " €, ", P9, " €, ", Q9, " €")</f>
        <v>Maximum: Norwegen: 66 €, 53 €, 26 €</v>
      </c>
      <c r="X9" s="483" t="str">
        <f>CONCATENATE(R6, ": ", R9, ": ", S9, " €")</f>
        <v>Minimum: Ungarn: 63 €</v>
      </c>
      <c r="Y9" s="483" t="str">
        <f>CONCATENATE(T6, ": ", T9, ": ", U9, " €")</f>
        <v>Maximum: Vereinigte Staaten von Amerika (USA) - San Francisco: 314 €</v>
      </c>
      <c r="Z9" s="472"/>
    </row>
    <row r="10" spans="1:26" x14ac:dyDescent="0.35">
      <c r="A10" s="16" t="s">
        <v>334</v>
      </c>
      <c r="B10" s="474">
        <v>25</v>
      </c>
      <c r="C10" s="474">
        <v>20</v>
      </c>
      <c r="D10" s="474">
        <v>10</v>
      </c>
      <c r="E10" s="474">
        <v>95</v>
      </c>
      <c r="F10" s="470">
        <v>30</v>
      </c>
    </row>
    <row r="11" spans="1:26" x14ac:dyDescent="0.35">
      <c r="A11" s="16" t="s">
        <v>335</v>
      </c>
      <c r="B11" s="474">
        <v>34</v>
      </c>
      <c r="C11" s="474">
        <v>27</v>
      </c>
      <c r="D11" s="474">
        <v>14</v>
      </c>
      <c r="E11" s="474">
        <v>125</v>
      </c>
      <c r="F11" s="470">
        <v>30</v>
      </c>
      <c r="J11" s="485" t="s">
        <v>336</v>
      </c>
    </row>
    <row r="12" spans="1:26" x14ac:dyDescent="0.35">
      <c r="A12" s="16" t="s">
        <v>307</v>
      </c>
      <c r="B12" s="474">
        <v>32</v>
      </c>
      <c r="C12" s="474">
        <v>26</v>
      </c>
      <c r="D12" s="474">
        <v>13</v>
      </c>
      <c r="E12" s="474">
        <v>130</v>
      </c>
      <c r="F12" s="470">
        <v>30</v>
      </c>
      <c r="J12" s="485" t="s">
        <v>306</v>
      </c>
    </row>
    <row r="13" spans="1:26" x14ac:dyDescent="0.35">
      <c r="A13" s="16" t="s">
        <v>337</v>
      </c>
      <c r="B13" s="474">
        <v>30</v>
      </c>
      <c r="C13" s="474">
        <v>24</v>
      </c>
      <c r="D13" s="474">
        <v>12</v>
      </c>
      <c r="E13" s="474">
        <v>166</v>
      </c>
      <c r="F13" s="470">
        <v>30</v>
      </c>
    </row>
    <row r="14" spans="1:26" x14ac:dyDescent="0.35">
      <c r="A14" s="16" t="s">
        <v>338</v>
      </c>
      <c r="B14" s="474">
        <v>22</v>
      </c>
      <c r="C14" s="474">
        <v>18</v>
      </c>
      <c r="D14" s="474">
        <v>9</v>
      </c>
      <c r="E14" s="474">
        <v>112</v>
      </c>
      <c r="F14" s="470">
        <v>30</v>
      </c>
      <c r="J14" s="485" t="s">
        <v>303</v>
      </c>
    </row>
    <row r="15" spans="1:26" x14ac:dyDescent="0.35">
      <c r="A15" s="16" t="s">
        <v>339</v>
      </c>
      <c r="B15" s="474">
        <v>42</v>
      </c>
      <c r="C15" s="474">
        <v>34</v>
      </c>
      <c r="D15" s="474">
        <v>17</v>
      </c>
      <c r="E15" s="474">
        <v>173</v>
      </c>
      <c r="F15" s="470">
        <v>30</v>
      </c>
      <c r="J15" s="485" t="s">
        <v>304</v>
      </c>
    </row>
    <row r="16" spans="1:26" x14ac:dyDescent="0.35">
      <c r="A16" s="16" t="s">
        <v>340</v>
      </c>
      <c r="B16" s="474">
        <v>34</v>
      </c>
      <c r="C16" s="474">
        <v>27</v>
      </c>
      <c r="D16" s="474">
        <v>14</v>
      </c>
      <c r="E16" s="474">
        <v>91</v>
      </c>
      <c r="F16" s="470">
        <v>30</v>
      </c>
      <c r="J16" s="485" t="s">
        <v>305</v>
      </c>
    </row>
    <row r="17" spans="1:34" x14ac:dyDescent="0.35">
      <c r="A17" s="16" t="s">
        <v>341</v>
      </c>
      <c r="B17" s="474">
        <v>43</v>
      </c>
      <c r="C17" s="474">
        <v>34</v>
      </c>
      <c r="D17" s="474">
        <v>17</v>
      </c>
      <c r="E17" s="474">
        <v>299</v>
      </c>
      <c r="F17" s="470">
        <v>30</v>
      </c>
      <c r="J17" s="485" t="s">
        <v>306</v>
      </c>
    </row>
    <row r="18" spans="1:34" x14ac:dyDescent="0.35">
      <c r="A18" s="16" t="s">
        <v>342</v>
      </c>
      <c r="B18" s="474">
        <v>29</v>
      </c>
      <c r="C18" s="474">
        <v>23</v>
      </c>
      <c r="D18" s="474">
        <v>12</v>
      </c>
      <c r="E18" s="474">
        <v>113</v>
      </c>
      <c r="F18" s="470">
        <v>30</v>
      </c>
    </row>
    <row r="19" spans="1:34" x14ac:dyDescent="0.35">
      <c r="A19" s="16" t="s">
        <v>343</v>
      </c>
      <c r="B19" s="474">
        <v>20</v>
      </c>
      <c r="C19" s="474">
        <v>16</v>
      </c>
      <c r="D19" s="474">
        <v>8</v>
      </c>
      <c r="E19" s="474">
        <v>59</v>
      </c>
      <c r="F19" s="470">
        <v>30</v>
      </c>
    </row>
    <row r="20" spans="1:34" x14ac:dyDescent="0.35">
      <c r="A20" s="16" t="s">
        <v>344</v>
      </c>
      <c r="B20" s="474">
        <v>25</v>
      </c>
      <c r="C20" s="474">
        <v>20</v>
      </c>
      <c r="D20" s="474">
        <v>10</v>
      </c>
      <c r="E20" s="474">
        <v>72</v>
      </c>
      <c r="F20" s="470">
        <v>30</v>
      </c>
      <c r="J20" s="485" t="s">
        <v>312</v>
      </c>
      <c r="K20" s="485"/>
      <c r="L20" s="485"/>
      <c r="M20" s="485"/>
      <c r="N20" s="485"/>
      <c r="O20" s="485"/>
    </row>
    <row r="21" spans="1:34" x14ac:dyDescent="0.35">
      <c r="A21" s="16" t="s">
        <v>345</v>
      </c>
      <c r="B21" s="474">
        <v>42</v>
      </c>
      <c r="C21" s="474">
        <v>34</v>
      </c>
      <c r="D21" s="474">
        <v>17</v>
      </c>
      <c r="E21" s="474">
        <v>158</v>
      </c>
      <c r="F21" s="470">
        <v>30</v>
      </c>
      <c r="J21" s="485" t="s">
        <v>346</v>
      </c>
      <c r="K21" s="485"/>
      <c r="L21" s="485"/>
      <c r="M21" s="485"/>
      <c r="N21" s="485"/>
      <c r="O21" s="485"/>
    </row>
    <row r="22" spans="1:34" x14ac:dyDescent="0.35">
      <c r="A22" s="16" t="s">
        <v>347</v>
      </c>
      <c r="B22" s="474">
        <v>56</v>
      </c>
      <c r="C22" s="474">
        <v>45</v>
      </c>
      <c r="D22" s="474">
        <v>22</v>
      </c>
      <c r="E22" s="474">
        <v>184</v>
      </c>
      <c r="F22" s="470">
        <v>30</v>
      </c>
    </row>
    <row r="23" spans="1:34" x14ac:dyDescent="0.35">
      <c r="A23" s="16" t="s">
        <v>348</v>
      </c>
      <c r="B23" s="474">
        <v>42</v>
      </c>
      <c r="C23" s="474">
        <v>34</v>
      </c>
      <c r="D23" s="474">
        <v>17</v>
      </c>
      <c r="E23" s="474">
        <v>158</v>
      </c>
      <c r="F23" s="470">
        <v>30</v>
      </c>
      <c r="J23" s="484" t="str">
        <f>H8</f>
        <v>EWR: Europäischer Wirtschaftsraum (Tagessatz (24 h; &gt;11 h; 8-11 h): Mittelwert à 42 € bzw. 33,5 € bzw. 16,5 € aus Minimum: Bulgarien: 18 €, 14 €, 7 € und Maximum: Norwegen: 66 €, 53 €, 26 €; Übernachtung: Mittelwert 126,5 € aus Minimum: Ungarn: 63 € und Maximum: Liechtenstein: 190 €.)</v>
      </c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</row>
    <row r="24" spans="1:34" x14ac:dyDescent="0.35">
      <c r="A24" s="16" t="s">
        <v>349</v>
      </c>
      <c r="B24" s="474">
        <v>37</v>
      </c>
      <c r="C24" s="474">
        <v>30</v>
      </c>
      <c r="D24" s="474">
        <v>15</v>
      </c>
      <c r="E24" s="474">
        <v>180</v>
      </c>
      <c r="F24" s="470">
        <v>30</v>
      </c>
      <c r="J24" s="484" t="str">
        <f>H9</f>
        <v>Weltweit (Tagessatz (24 h; &gt;11 h; 8-11 h): Mittelwert à 41 € bzw. 33 € bzw. 16 € aus Minimum: Weißrussland: 16 €, 13 €, 6 € und Maximum: Norwegen: 66 €, 53 €, 26 €; Übernachtung: Mittelwert 188,5 € aus Minimum: Ungarn: 63 € und Maximum: Vereinigte Staaten von Amerika (USA) - San Francisco: 314 €.)</v>
      </c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</row>
    <row r="25" spans="1:34" x14ac:dyDescent="0.35">
      <c r="A25" s="16" t="s">
        <v>350</v>
      </c>
      <c r="B25" s="474">
        <v>41</v>
      </c>
      <c r="C25" s="474">
        <v>33</v>
      </c>
      <c r="D25" s="474">
        <v>16</v>
      </c>
      <c r="E25" s="474">
        <v>165</v>
      </c>
      <c r="F25" s="470">
        <v>30</v>
      </c>
    </row>
    <row r="26" spans="1:34" x14ac:dyDescent="0.35">
      <c r="A26" s="16" t="s">
        <v>351</v>
      </c>
      <c r="B26" s="474">
        <v>43</v>
      </c>
      <c r="C26" s="474">
        <v>34</v>
      </c>
      <c r="D26" s="474">
        <v>17</v>
      </c>
      <c r="E26" s="474">
        <v>165</v>
      </c>
      <c r="F26" s="470">
        <v>30</v>
      </c>
    </row>
    <row r="27" spans="1:34" x14ac:dyDescent="0.35">
      <c r="A27" s="16" t="s">
        <v>352</v>
      </c>
      <c r="B27" s="474">
        <v>35</v>
      </c>
      <c r="C27" s="474">
        <v>28</v>
      </c>
      <c r="D27" s="474">
        <v>14</v>
      </c>
      <c r="E27" s="474">
        <v>135</v>
      </c>
      <c r="F27" s="470">
        <v>30</v>
      </c>
    </row>
    <row r="28" spans="1:34" x14ac:dyDescent="0.35">
      <c r="A28" s="16" t="s">
        <v>353</v>
      </c>
      <c r="B28" s="474">
        <v>43</v>
      </c>
      <c r="C28" s="474">
        <v>34</v>
      </c>
      <c r="D28" s="474">
        <v>17</v>
      </c>
      <c r="E28" s="474">
        <v>115</v>
      </c>
      <c r="F28" s="470">
        <v>30</v>
      </c>
    </row>
    <row r="29" spans="1:34" x14ac:dyDescent="0.35">
      <c r="A29" s="16" t="s">
        <v>354</v>
      </c>
      <c r="B29" s="474">
        <v>25</v>
      </c>
      <c r="C29" s="474">
        <v>20</v>
      </c>
      <c r="D29" s="474">
        <v>10</v>
      </c>
      <c r="E29" s="474">
        <v>93</v>
      </c>
      <c r="F29" s="470">
        <v>30</v>
      </c>
    </row>
    <row r="30" spans="1:34" x14ac:dyDescent="0.35">
      <c r="A30" s="16" t="s">
        <v>355</v>
      </c>
      <c r="B30" s="474">
        <v>19</v>
      </c>
      <c r="C30" s="474">
        <v>15</v>
      </c>
      <c r="D30" s="474">
        <v>8</v>
      </c>
      <c r="E30" s="474">
        <v>75</v>
      </c>
      <c r="F30" s="470">
        <v>30</v>
      </c>
    </row>
    <row r="31" spans="1:34" x14ac:dyDescent="0.35">
      <c r="A31" s="16" t="s">
        <v>356</v>
      </c>
      <c r="B31" s="474">
        <v>38</v>
      </c>
      <c r="C31" s="474">
        <v>30</v>
      </c>
      <c r="D31" s="474">
        <v>15</v>
      </c>
      <c r="E31" s="474">
        <v>176</v>
      </c>
      <c r="F31" s="470">
        <v>30</v>
      </c>
    </row>
    <row r="32" spans="1:34" x14ac:dyDescent="0.35">
      <c r="A32" s="16" t="s">
        <v>357</v>
      </c>
      <c r="B32" s="474">
        <v>47</v>
      </c>
      <c r="C32" s="474">
        <v>38</v>
      </c>
      <c r="D32" s="474">
        <v>19</v>
      </c>
      <c r="E32" s="474">
        <v>127</v>
      </c>
      <c r="F32" s="470">
        <v>30</v>
      </c>
    </row>
    <row r="33" spans="1:6" x14ac:dyDescent="0.35">
      <c r="A33" s="16" t="s">
        <v>358</v>
      </c>
      <c r="B33" s="474">
        <v>47</v>
      </c>
      <c r="C33" s="474">
        <v>38</v>
      </c>
      <c r="D33" s="474">
        <v>19</v>
      </c>
      <c r="E33" s="474">
        <v>145</v>
      </c>
      <c r="F33" s="470">
        <v>30</v>
      </c>
    </row>
    <row r="34" spans="1:6" x14ac:dyDescent="0.35">
      <c r="A34" s="16" t="s">
        <v>359</v>
      </c>
      <c r="B34" s="474">
        <v>44</v>
      </c>
      <c r="C34" s="474">
        <v>35</v>
      </c>
      <c r="D34" s="474">
        <v>18</v>
      </c>
      <c r="E34" s="474">
        <v>132</v>
      </c>
      <c r="F34" s="470">
        <v>30</v>
      </c>
    </row>
    <row r="35" spans="1:6" x14ac:dyDescent="0.35">
      <c r="A35" s="16" t="s">
        <v>360</v>
      </c>
      <c r="B35" s="474">
        <v>42</v>
      </c>
      <c r="C35" s="474">
        <v>34</v>
      </c>
      <c r="D35" s="474">
        <v>17</v>
      </c>
      <c r="E35" s="474">
        <v>84</v>
      </c>
      <c r="F35" s="470">
        <v>30</v>
      </c>
    </row>
    <row r="36" spans="1:6" x14ac:dyDescent="0.35">
      <c r="A36" s="16" t="s">
        <v>361</v>
      </c>
      <c r="B36" s="474">
        <v>43</v>
      </c>
      <c r="C36" s="474">
        <v>34</v>
      </c>
      <c r="D36" s="474">
        <v>17</v>
      </c>
      <c r="E36" s="474">
        <v>106</v>
      </c>
      <c r="F36" s="470">
        <v>30</v>
      </c>
    </row>
    <row r="37" spans="1:6" x14ac:dyDescent="0.35">
      <c r="A37" s="16" t="s">
        <v>326</v>
      </c>
      <c r="B37" s="474">
        <v>18</v>
      </c>
      <c r="C37" s="474">
        <v>14</v>
      </c>
      <c r="D37" s="474">
        <v>7</v>
      </c>
      <c r="E37" s="474">
        <v>115</v>
      </c>
      <c r="F37" s="470">
        <v>30</v>
      </c>
    </row>
    <row r="38" spans="1:6" x14ac:dyDescent="0.35">
      <c r="A38" s="16" t="s">
        <v>362</v>
      </c>
      <c r="B38" s="474">
        <v>31</v>
      </c>
      <c r="C38" s="474">
        <v>25</v>
      </c>
      <c r="D38" s="474">
        <v>12</v>
      </c>
      <c r="E38" s="474">
        <v>174</v>
      </c>
      <c r="F38" s="470">
        <v>30</v>
      </c>
    </row>
    <row r="39" spans="1:6" x14ac:dyDescent="0.35">
      <c r="A39" s="16" t="s">
        <v>363</v>
      </c>
      <c r="B39" s="474">
        <v>30</v>
      </c>
      <c r="C39" s="474">
        <v>24</v>
      </c>
      <c r="D39" s="474">
        <v>12</v>
      </c>
      <c r="E39" s="474">
        <v>138</v>
      </c>
      <c r="F39" s="470">
        <v>30</v>
      </c>
    </row>
    <row r="40" spans="1:6" x14ac:dyDescent="0.35">
      <c r="A40" s="16" t="s">
        <v>364</v>
      </c>
      <c r="B40" s="474">
        <v>36</v>
      </c>
      <c r="C40" s="474">
        <v>29</v>
      </c>
      <c r="D40" s="474">
        <v>14</v>
      </c>
      <c r="E40" s="474">
        <v>154</v>
      </c>
      <c r="F40" s="470">
        <v>30</v>
      </c>
    </row>
    <row r="41" spans="1:6" x14ac:dyDescent="0.35">
      <c r="A41" s="16" t="s">
        <v>365</v>
      </c>
      <c r="B41" s="474">
        <v>34</v>
      </c>
      <c r="C41" s="474">
        <v>27</v>
      </c>
      <c r="D41" s="474">
        <v>14</v>
      </c>
      <c r="E41" s="474">
        <v>131</v>
      </c>
      <c r="F41" s="470">
        <v>30</v>
      </c>
    </row>
    <row r="42" spans="1:6" x14ac:dyDescent="0.35">
      <c r="A42" s="16" t="s">
        <v>366</v>
      </c>
      <c r="B42" s="474">
        <v>61</v>
      </c>
      <c r="C42" s="474">
        <v>49</v>
      </c>
      <c r="D42" s="474">
        <v>24</v>
      </c>
      <c r="E42" s="474">
        <v>145</v>
      </c>
      <c r="F42" s="470">
        <v>30</v>
      </c>
    </row>
    <row r="43" spans="1:6" x14ac:dyDescent="0.35">
      <c r="A43" s="16" t="s">
        <v>367</v>
      </c>
      <c r="B43" s="474">
        <v>30</v>
      </c>
      <c r="C43" s="474">
        <v>24</v>
      </c>
      <c r="D43" s="474">
        <v>12</v>
      </c>
      <c r="E43" s="474">
        <v>150</v>
      </c>
      <c r="F43" s="470">
        <v>30</v>
      </c>
    </row>
    <row r="44" spans="1:6" x14ac:dyDescent="0.35">
      <c r="A44" s="16" t="s">
        <v>368</v>
      </c>
      <c r="B44" s="474">
        <v>25</v>
      </c>
      <c r="C44" s="474">
        <v>20</v>
      </c>
      <c r="D44" s="474">
        <v>10</v>
      </c>
      <c r="E44" s="474">
        <v>185</v>
      </c>
      <c r="F44" s="470">
        <v>30</v>
      </c>
    </row>
    <row r="45" spans="1:6" x14ac:dyDescent="0.35">
      <c r="A45" s="16" t="s">
        <v>369</v>
      </c>
      <c r="B45" s="474">
        <v>48</v>
      </c>
      <c r="C45" s="474">
        <v>38</v>
      </c>
      <c r="D45" s="474">
        <v>19</v>
      </c>
      <c r="E45" s="474">
        <v>217</v>
      </c>
      <c r="F45" s="470">
        <v>30</v>
      </c>
    </row>
    <row r="46" spans="1:6" x14ac:dyDescent="0.35">
      <c r="A46" s="16" t="s">
        <v>370</v>
      </c>
      <c r="B46" s="474">
        <v>40</v>
      </c>
      <c r="C46" s="474">
        <v>32</v>
      </c>
      <c r="D46" s="474">
        <v>16</v>
      </c>
      <c r="E46" s="474">
        <v>112</v>
      </c>
      <c r="F46" s="470">
        <v>30</v>
      </c>
    </row>
    <row r="47" spans="1:6" x14ac:dyDescent="0.35">
      <c r="A47" s="16" t="s">
        <v>371</v>
      </c>
      <c r="B47" s="474">
        <v>39</v>
      </c>
      <c r="C47" s="474">
        <v>31</v>
      </c>
      <c r="D47" s="474">
        <v>16</v>
      </c>
      <c r="E47" s="474">
        <v>93</v>
      </c>
      <c r="F47" s="470">
        <v>30</v>
      </c>
    </row>
    <row r="48" spans="1:6" x14ac:dyDescent="0.35">
      <c r="A48" s="16" t="s">
        <v>372</v>
      </c>
      <c r="B48" s="474">
        <v>49</v>
      </c>
      <c r="C48" s="474">
        <v>39</v>
      </c>
      <c r="D48" s="474">
        <v>20</v>
      </c>
      <c r="E48" s="474">
        <v>166</v>
      </c>
      <c r="F48" s="470">
        <v>30</v>
      </c>
    </row>
    <row r="49" spans="1:6" x14ac:dyDescent="0.35">
      <c r="A49" s="16" t="s">
        <v>373</v>
      </c>
      <c r="B49" s="474">
        <v>48</v>
      </c>
      <c r="C49" s="474">
        <v>38</v>
      </c>
      <c r="D49" s="474">
        <v>19</v>
      </c>
      <c r="E49" s="474">
        <v>143</v>
      </c>
      <c r="F49" s="470">
        <v>30</v>
      </c>
    </row>
    <row r="50" spans="1:6" x14ac:dyDescent="0.35">
      <c r="A50" s="16" t="s">
        <v>374</v>
      </c>
      <c r="B50" s="474">
        <v>37</v>
      </c>
      <c r="C50" s="474">
        <v>30</v>
      </c>
      <c r="D50" s="474">
        <v>15</v>
      </c>
      <c r="E50" s="474">
        <v>147</v>
      </c>
      <c r="F50" s="470">
        <v>30</v>
      </c>
    </row>
    <row r="51" spans="1:6" x14ac:dyDescent="0.35">
      <c r="A51" s="16" t="s">
        <v>375</v>
      </c>
      <c r="B51" s="474">
        <v>54</v>
      </c>
      <c r="C51" s="474">
        <v>43</v>
      </c>
      <c r="D51" s="474">
        <v>22</v>
      </c>
      <c r="E51" s="474">
        <v>305</v>
      </c>
      <c r="F51" s="470">
        <v>30</v>
      </c>
    </row>
    <row r="52" spans="1:6" x14ac:dyDescent="0.35">
      <c r="A52" s="16" t="s">
        <v>376</v>
      </c>
      <c r="B52" s="474">
        <v>36</v>
      </c>
      <c r="C52" s="474">
        <v>29</v>
      </c>
      <c r="D52" s="474">
        <v>14</v>
      </c>
      <c r="E52" s="474">
        <v>97</v>
      </c>
      <c r="F52" s="470">
        <v>30</v>
      </c>
    </row>
    <row r="53" spans="1:6" x14ac:dyDescent="0.35">
      <c r="A53" s="16" t="s">
        <v>377</v>
      </c>
      <c r="B53" s="474">
        <v>36</v>
      </c>
      <c r="C53" s="474">
        <v>29</v>
      </c>
      <c r="D53" s="474">
        <v>14</v>
      </c>
      <c r="E53" s="474">
        <v>119</v>
      </c>
      <c r="F53" s="470">
        <v>30</v>
      </c>
    </row>
    <row r="54" spans="1:6" x14ac:dyDescent="0.35">
      <c r="A54" s="16" t="s">
        <v>378</v>
      </c>
      <c r="B54" s="474">
        <v>41</v>
      </c>
      <c r="C54" s="474">
        <v>33</v>
      </c>
      <c r="D54" s="474">
        <v>16</v>
      </c>
      <c r="E54" s="474">
        <v>91</v>
      </c>
      <c r="F54" s="470">
        <v>30</v>
      </c>
    </row>
    <row r="55" spans="1:6" x14ac:dyDescent="0.35">
      <c r="A55" s="16" t="s">
        <v>379</v>
      </c>
      <c r="B55" s="474">
        <v>24</v>
      </c>
      <c r="C55" s="474">
        <v>19</v>
      </c>
      <c r="D55" s="474">
        <v>10</v>
      </c>
      <c r="E55" s="474">
        <v>85</v>
      </c>
      <c r="F55" s="470">
        <v>30</v>
      </c>
    </row>
    <row r="56" spans="1:6" x14ac:dyDescent="0.35">
      <c r="A56" s="16" t="s">
        <v>380</v>
      </c>
      <c r="B56" s="474">
        <v>28</v>
      </c>
      <c r="C56" s="474">
        <v>22</v>
      </c>
      <c r="D56" s="474">
        <v>11</v>
      </c>
      <c r="E56" s="474">
        <v>69</v>
      </c>
      <c r="F56" s="470">
        <v>30</v>
      </c>
    </row>
    <row r="57" spans="1:6" x14ac:dyDescent="0.35">
      <c r="A57" s="16" t="s">
        <v>381</v>
      </c>
      <c r="B57" s="474">
        <v>41</v>
      </c>
      <c r="C57" s="474">
        <v>33</v>
      </c>
      <c r="D57" s="474">
        <v>16</v>
      </c>
      <c r="E57" s="474">
        <v>136</v>
      </c>
      <c r="F57" s="470">
        <v>30</v>
      </c>
    </row>
    <row r="58" spans="1:6" x14ac:dyDescent="0.35">
      <c r="A58" s="16" t="s">
        <v>382</v>
      </c>
      <c r="B58" s="474">
        <v>44</v>
      </c>
      <c r="C58" s="474">
        <v>35</v>
      </c>
      <c r="D58" s="474">
        <v>18</v>
      </c>
      <c r="E58" s="474">
        <v>115</v>
      </c>
      <c r="F58" s="470">
        <v>30</v>
      </c>
    </row>
    <row r="59" spans="1:6" x14ac:dyDescent="0.35">
      <c r="A59" s="16" t="s">
        <v>383</v>
      </c>
      <c r="B59" s="474">
        <v>38</v>
      </c>
      <c r="C59" s="474">
        <v>30</v>
      </c>
      <c r="D59" s="474">
        <v>15</v>
      </c>
      <c r="E59" s="474">
        <v>101</v>
      </c>
      <c r="F59" s="470">
        <v>30</v>
      </c>
    </row>
    <row r="60" spans="1:6" x14ac:dyDescent="0.35">
      <c r="A60" s="16" t="s">
        <v>384</v>
      </c>
      <c r="B60" s="474">
        <v>48</v>
      </c>
      <c r="C60" s="474">
        <v>38</v>
      </c>
      <c r="D60" s="474">
        <v>19</v>
      </c>
      <c r="E60" s="474">
        <v>152</v>
      </c>
      <c r="F60" s="470">
        <v>30</v>
      </c>
    </row>
    <row r="61" spans="1:6" x14ac:dyDescent="0.35">
      <c r="A61" s="16" t="s">
        <v>385</v>
      </c>
      <c r="B61" s="474">
        <v>42</v>
      </c>
      <c r="C61" s="474">
        <v>34</v>
      </c>
      <c r="D61" s="474">
        <v>17</v>
      </c>
      <c r="E61" s="474">
        <v>96</v>
      </c>
      <c r="F61" s="470">
        <v>30</v>
      </c>
    </row>
    <row r="62" spans="1:6" x14ac:dyDescent="0.35">
      <c r="A62" s="16" t="s">
        <v>386</v>
      </c>
      <c r="B62" s="474">
        <v>36</v>
      </c>
      <c r="C62" s="474">
        <v>29</v>
      </c>
      <c r="D62" s="474">
        <v>14</v>
      </c>
      <c r="E62" s="474">
        <v>115</v>
      </c>
      <c r="F62" s="470">
        <v>30</v>
      </c>
    </row>
    <row r="63" spans="1:6" x14ac:dyDescent="0.35">
      <c r="A63" s="16" t="s">
        <v>387</v>
      </c>
      <c r="B63" s="474">
        <v>43</v>
      </c>
      <c r="C63" s="474">
        <v>34</v>
      </c>
      <c r="D63" s="474">
        <v>17</v>
      </c>
      <c r="E63" s="474">
        <v>183</v>
      </c>
      <c r="F63" s="470">
        <v>30</v>
      </c>
    </row>
    <row r="64" spans="1:6" x14ac:dyDescent="0.35">
      <c r="A64" s="16" t="s">
        <v>388</v>
      </c>
      <c r="B64" s="474">
        <v>33</v>
      </c>
      <c r="C64" s="474">
        <v>26</v>
      </c>
      <c r="D64" s="474">
        <v>13</v>
      </c>
      <c r="E64" s="474">
        <v>161</v>
      </c>
      <c r="F64" s="470">
        <v>30</v>
      </c>
    </row>
    <row r="65" spans="1:6" x14ac:dyDescent="0.35">
      <c r="A65" s="16" t="s">
        <v>389</v>
      </c>
      <c r="B65" s="474">
        <v>29</v>
      </c>
      <c r="C65" s="474">
        <v>23</v>
      </c>
      <c r="D65" s="474">
        <v>12</v>
      </c>
      <c r="E65" s="474">
        <v>88</v>
      </c>
      <c r="F65" s="470">
        <v>30</v>
      </c>
    </row>
    <row r="66" spans="1:6" x14ac:dyDescent="0.35">
      <c r="A66" s="16" t="s">
        <v>390</v>
      </c>
      <c r="B66" s="474">
        <v>38</v>
      </c>
      <c r="C66" s="474">
        <v>30</v>
      </c>
      <c r="D66" s="474">
        <v>15</v>
      </c>
      <c r="E66" s="474">
        <v>148</v>
      </c>
      <c r="F66" s="470">
        <v>30</v>
      </c>
    </row>
    <row r="67" spans="1:6" x14ac:dyDescent="0.35">
      <c r="A67" s="16" t="s">
        <v>391</v>
      </c>
      <c r="B67" s="474">
        <v>38</v>
      </c>
      <c r="C67" s="474">
        <v>30</v>
      </c>
      <c r="D67" s="474">
        <v>15</v>
      </c>
      <c r="E67" s="474">
        <v>132</v>
      </c>
      <c r="F67" s="470">
        <v>30</v>
      </c>
    </row>
    <row r="68" spans="1:6" x14ac:dyDescent="0.35">
      <c r="A68" s="16" t="s">
        <v>392</v>
      </c>
      <c r="B68" s="474">
        <v>30</v>
      </c>
      <c r="C68" s="474">
        <v>24</v>
      </c>
      <c r="D68" s="474">
        <v>12</v>
      </c>
      <c r="E68" s="474">
        <v>135</v>
      </c>
      <c r="F68" s="470">
        <v>30</v>
      </c>
    </row>
    <row r="69" spans="1:6" x14ac:dyDescent="0.35">
      <c r="A69" s="16" t="s">
        <v>393</v>
      </c>
      <c r="B69" s="474">
        <v>28</v>
      </c>
      <c r="C69" s="474">
        <v>22</v>
      </c>
      <c r="D69" s="474">
        <v>11</v>
      </c>
      <c r="E69" s="474">
        <v>90</v>
      </c>
      <c r="F69" s="470">
        <v>30</v>
      </c>
    </row>
    <row r="70" spans="1:6" x14ac:dyDescent="0.35">
      <c r="A70" s="16" t="s">
        <v>394</v>
      </c>
      <c r="B70" s="474">
        <v>38</v>
      </c>
      <c r="C70" s="474">
        <v>30</v>
      </c>
      <c r="D70" s="474">
        <v>15</v>
      </c>
      <c r="E70" s="474">
        <v>118</v>
      </c>
      <c r="F70" s="470">
        <v>30</v>
      </c>
    </row>
    <row r="71" spans="1:6" x14ac:dyDescent="0.35">
      <c r="A71" s="16" t="s">
        <v>395</v>
      </c>
      <c r="B71" s="474">
        <v>20</v>
      </c>
      <c r="C71" s="474">
        <v>16</v>
      </c>
      <c r="D71" s="474">
        <v>8</v>
      </c>
      <c r="E71" s="474">
        <v>86</v>
      </c>
      <c r="F71" s="470">
        <v>30</v>
      </c>
    </row>
    <row r="72" spans="1:6" x14ac:dyDescent="0.35">
      <c r="A72" s="16" t="s">
        <v>396</v>
      </c>
      <c r="B72" s="474">
        <v>48</v>
      </c>
      <c r="C72" s="474">
        <v>38</v>
      </c>
      <c r="D72" s="474">
        <v>19</v>
      </c>
      <c r="E72" s="474">
        <v>130</v>
      </c>
      <c r="F72" s="470">
        <v>30</v>
      </c>
    </row>
    <row r="73" spans="1:6" x14ac:dyDescent="0.35">
      <c r="A73" s="16" t="s">
        <v>397</v>
      </c>
      <c r="B73" s="474">
        <v>40</v>
      </c>
      <c r="C73" s="474">
        <v>32</v>
      </c>
      <c r="D73" s="474">
        <v>16</v>
      </c>
      <c r="E73" s="474">
        <v>101</v>
      </c>
      <c r="F73" s="470">
        <v>30</v>
      </c>
    </row>
    <row r="74" spans="1:6" x14ac:dyDescent="0.35">
      <c r="A74" s="16" t="s">
        <v>398</v>
      </c>
      <c r="B74" s="474">
        <v>35</v>
      </c>
      <c r="C74" s="474">
        <v>28</v>
      </c>
      <c r="D74" s="474">
        <v>14</v>
      </c>
      <c r="E74" s="474">
        <v>155</v>
      </c>
      <c r="F74" s="470">
        <v>30</v>
      </c>
    </row>
    <row r="75" spans="1:6" x14ac:dyDescent="0.35">
      <c r="A75" s="16" t="s">
        <v>399</v>
      </c>
      <c r="B75" s="474">
        <v>26</v>
      </c>
      <c r="C75" s="474">
        <v>21</v>
      </c>
      <c r="D75" s="474">
        <v>10</v>
      </c>
      <c r="E75" s="474">
        <v>85</v>
      </c>
      <c r="F75" s="470">
        <v>30</v>
      </c>
    </row>
    <row r="76" spans="1:6" x14ac:dyDescent="0.35">
      <c r="A76" s="16" t="s">
        <v>400</v>
      </c>
      <c r="B76" s="474">
        <v>29</v>
      </c>
      <c r="C76" s="474">
        <v>23</v>
      </c>
      <c r="D76" s="474">
        <v>12</v>
      </c>
      <c r="E76" s="474">
        <v>145</v>
      </c>
      <c r="F76" s="470">
        <v>30</v>
      </c>
    </row>
    <row r="77" spans="1:6" x14ac:dyDescent="0.35">
      <c r="A77" s="16" t="s">
        <v>401</v>
      </c>
      <c r="B77" s="474">
        <v>41</v>
      </c>
      <c r="C77" s="474">
        <v>33</v>
      </c>
      <c r="D77" s="474">
        <v>16</v>
      </c>
      <c r="E77" s="474">
        <v>146</v>
      </c>
      <c r="F77" s="470">
        <v>30</v>
      </c>
    </row>
    <row r="78" spans="1:6" x14ac:dyDescent="0.35">
      <c r="A78" s="16" t="s">
        <v>402</v>
      </c>
      <c r="B78" s="474">
        <v>31</v>
      </c>
      <c r="C78" s="474">
        <v>25</v>
      </c>
      <c r="D78" s="474">
        <v>12</v>
      </c>
      <c r="E78" s="474">
        <v>185</v>
      </c>
      <c r="F78" s="470">
        <v>30</v>
      </c>
    </row>
    <row r="79" spans="1:6" x14ac:dyDescent="0.35">
      <c r="A79" s="16" t="s">
        <v>403</v>
      </c>
      <c r="B79" s="474">
        <v>26</v>
      </c>
      <c r="C79" s="474">
        <v>21</v>
      </c>
      <c r="D79" s="474">
        <v>10</v>
      </c>
      <c r="E79" s="474">
        <v>85</v>
      </c>
      <c r="F79" s="470">
        <v>30</v>
      </c>
    </row>
    <row r="80" spans="1:6" x14ac:dyDescent="0.35">
      <c r="A80" s="16" t="s">
        <v>404</v>
      </c>
      <c r="B80" s="474">
        <v>30</v>
      </c>
      <c r="C80" s="474">
        <v>24</v>
      </c>
      <c r="D80" s="474">
        <v>12</v>
      </c>
      <c r="E80" s="474">
        <v>134</v>
      </c>
      <c r="F80" s="470">
        <v>30</v>
      </c>
    </row>
    <row r="81" spans="1:6" x14ac:dyDescent="0.35">
      <c r="A81" s="16" t="s">
        <v>405</v>
      </c>
      <c r="B81" s="474">
        <v>27</v>
      </c>
      <c r="C81" s="474">
        <v>22</v>
      </c>
      <c r="D81" s="474">
        <v>11</v>
      </c>
      <c r="E81" s="474">
        <v>196</v>
      </c>
      <c r="F81" s="470">
        <v>30</v>
      </c>
    </row>
    <row r="82" spans="1:6" x14ac:dyDescent="0.35">
      <c r="A82" s="16" t="s">
        <v>406</v>
      </c>
      <c r="B82" s="474">
        <v>48</v>
      </c>
      <c r="C82" s="474">
        <v>38</v>
      </c>
      <c r="D82" s="474">
        <v>19</v>
      </c>
      <c r="E82" s="474">
        <v>129</v>
      </c>
      <c r="F82" s="470">
        <v>30</v>
      </c>
    </row>
    <row r="83" spans="1:6" x14ac:dyDescent="0.35">
      <c r="A83" s="16" t="s">
        <v>407</v>
      </c>
      <c r="B83" s="474">
        <v>39</v>
      </c>
      <c r="C83" s="474">
        <v>31</v>
      </c>
      <c r="D83" s="474">
        <v>16</v>
      </c>
      <c r="E83" s="474">
        <v>108</v>
      </c>
      <c r="F83" s="470">
        <v>30</v>
      </c>
    </row>
    <row r="84" spans="1:6" x14ac:dyDescent="0.35">
      <c r="A84" s="16" t="s">
        <v>408</v>
      </c>
      <c r="B84" s="474">
        <v>55</v>
      </c>
      <c r="C84" s="474">
        <v>44</v>
      </c>
      <c r="D84" s="474">
        <v>22</v>
      </c>
      <c r="E84" s="474">
        <v>190</v>
      </c>
      <c r="F84" s="470">
        <v>30</v>
      </c>
    </row>
    <row r="85" spans="1:6" x14ac:dyDescent="0.35">
      <c r="A85" s="16" t="s">
        <v>409</v>
      </c>
      <c r="B85" s="474">
        <v>37</v>
      </c>
      <c r="C85" s="474">
        <v>30</v>
      </c>
      <c r="D85" s="474">
        <v>15</v>
      </c>
      <c r="E85" s="474">
        <v>158</v>
      </c>
      <c r="F85" s="470">
        <v>30</v>
      </c>
    </row>
    <row r="86" spans="1:6" x14ac:dyDescent="0.35">
      <c r="A86" s="16" t="s">
        <v>410</v>
      </c>
      <c r="B86" s="474">
        <v>33</v>
      </c>
      <c r="C86" s="474">
        <v>26</v>
      </c>
      <c r="D86" s="474">
        <v>13</v>
      </c>
      <c r="E86" s="474">
        <v>135</v>
      </c>
      <c r="F86" s="470">
        <v>30</v>
      </c>
    </row>
    <row r="87" spans="1:6" x14ac:dyDescent="0.35">
      <c r="A87" s="16" t="s">
        <v>411</v>
      </c>
      <c r="B87" s="474">
        <v>33</v>
      </c>
      <c r="C87" s="474">
        <v>26</v>
      </c>
      <c r="D87" s="474">
        <v>13</v>
      </c>
      <c r="E87" s="474">
        <v>135</v>
      </c>
      <c r="F87" s="470">
        <v>30</v>
      </c>
    </row>
    <row r="88" spans="1:6" x14ac:dyDescent="0.35">
      <c r="A88" s="16" t="s">
        <v>412</v>
      </c>
      <c r="B88" s="474">
        <v>47</v>
      </c>
      <c r="C88" s="474">
        <v>38</v>
      </c>
      <c r="D88" s="474">
        <v>19</v>
      </c>
      <c r="E88" s="474">
        <v>138</v>
      </c>
      <c r="F88" s="470">
        <v>30</v>
      </c>
    </row>
    <row r="89" spans="1:6" x14ac:dyDescent="0.35">
      <c r="A89" s="16" t="s">
        <v>413</v>
      </c>
      <c r="B89" s="474">
        <v>55</v>
      </c>
      <c r="C89" s="474">
        <v>44</v>
      </c>
      <c r="D89" s="474">
        <v>22</v>
      </c>
      <c r="E89" s="474">
        <v>233</v>
      </c>
      <c r="F89" s="470">
        <v>30</v>
      </c>
    </row>
    <row r="90" spans="1:6" x14ac:dyDescent="0.35">
      <c r="A90" s="16" t="s">
        <v>414</v>
      </c>
      <c r="B90" s="474">
        <v>43</v>
      </c>
      <c r="C90" s="474">
        <v>34</v>
      </c>
      <c r="D90" s="474">
        <v>17</v>
      </c>
      <c r="E90" s="474">
        <v>190</v>
      </c>
      <c r="F90" s="470">
        <v>30</v>
      </c>
    </row>
    <row r="91" spans="1:6" x14ac:dyDescent="0.35">
      <c r="A91" s="16" t="s">
        <v>415</v>
      </c>
      <c r="B91" s="474">
        <v>20</v>
      </c>
      <c r="C91" s="474">
        <v>16</v>
      </c>
      <c r="D91" s="474">
        <v>8</v>
      </c>
      <c r="E91" s="474">
        <v>95</v>
      </c>
      <c r="F91" s="470">
        <v>30</v>
      </c>
    </row>
    <row r="92" spans="1:6" x14ac:dyDescent="0.35">
      <c r="A92" s="16" t="s">
        <v>416</v>
      </c>
      <c r="B92" s="474">
        <v>38</v>
      </c>
      <c r="C92" s="474">
        <v>30</v>
      </c>
      <c r="D92" s="474">
        <v>15</v>
      </c>
      <c r="E92" s="474">
        <v>126</v>
      </c>
      <c r="F92" s="470">
        <v>30</v>
      </c>
    </row>
    <row r="93" spans="1:6" x14ac:dyDescent="0.35">
      <c r="A93" s="16" t="s">
        <v>417</v>
      </c>
      <c r="B93" s="474">
        <v>31</v>
      </c>
      <c r="C93" s="474">
        <v>25</v>
      </c>
      <c r="D93" s="474">
        <v>12</v>
      </c>
      <c r="E93" s="474">
        <v>94</v>
      </c>
      <c r="F93" s="470">
        <v>30</v>
      </c>
    </row>
    <row r="94" spans="1:6" x14ac:dyDescent="0.35">
      <c r="A94" s="16" t="s">
        <v>418</v>
      </c>
      <c r="B94" s="474">
        <v>41</v>
      </c>
      <c r="C94" s="474">
        <v>33</v>
      </c>
      <c r="D94" s="474">
        <v>16</v>
      </c>
      <c r="E94" s="474">
        <v>180</v>
      </c>
      <c r="F94" s="470">
        <v>30</v>
      </c>
    </row>
    <row r="95" spans="1:6" x14ac:dyDescent="0.35">
      <c r="A95" s="16" t="s">
        <v>419</v>
      </c>
      <c r="B95" s="474">
        <v>39</v>
      </c>
      <c r="C95" s="474">
        <v>31</v>
      </c>
      <c r="D95" s="474">
        <v>16</v>
      </c>
      <c r="E95" s="474">
        <v>142</v>
      </c>
      <c r="F95" s="470">
        <v>30</v>
      </c>
    </row>
    <row r="96" spans="1:6" x14ac:dyDescent="0.35">
      <c r="A96" s="16" t="s">
        <v>420</v>
      </c>
      <c r="B96" s="474">
        <v>42</v>
      </c>
      <c r="C96" s="474">
        <v>34</v>
      </c>
      <c r="D96" s="474">
        <v>17</v>
      </c>
      <c r="E96" s="474">
        <v>161</v>
      </c>
      <c r="F96" s="470">
        <v>30</v>
      </c>
    </row>
    <row r="97" spans="1:6" x14ac:dyDescent="0.35">
      <c r="A97" s="16" t="s">
        <v>421</v>
      </c>
      <c r="B97" s="474">
        <v>41</v>
      </c>
      <c r="C97" s="474">
        <v>33</v>
      </c>
      <c r="D97" s="474">
        <v>16</v>
      </c>
      <c r="E97" s="474">
        <v>140</v>
      </c>
      <c r="F97" s="470">
        <v>30</v>
      </c>
    </row>
    <row r="98" spans="1:6" x14ac:dyDescent="0.35">
      <c r="A98" s="16" t="s">
        <v>422</v>
      </c>
      <c r="B98" s="474">
        <v>39</v>
      </c>
      <c r="C98" s="474">
        <v>31</v>
      </c>
      <c r="D98" s="474">
        <v>16</v>
      </c>
      <c r="E98" s="474">
        <v>134</v>
      </c>
      <c r="F98" s="470">
        <v>30</v>
      </c>
    </row>
    <row r="99" spans="1:6" x14ac:dyDescent="0.35">
      <c r="A99" s="16" t="s">
        <v>423</v>
      </c>
      <c r="B99" s="474">
        <v>25</v>
      </c>
      <c r="C99" s="474">
        <v>20</v>
      </c>
      <c r="D99" s="474">
        <v>10</v>
      </c>
      <c r="E99" s="474">
        <v>105</v>
      </c>
      <c r="F99" s="470">
        <v>30</v>
      </c>
    </row>
    <row r="100" spans="1:6" x14ac:dyDescent="0.35">
      <c r="A100" s="16" t="s">
        <v>424</v>
      </c>
      <c r="B100" s="474">
        <v>37</v>
      </c>
      <c r="C100" s="474">
        <v>30</v>
      </c>
      <c r="D100" s="474">
        <v>15</v>
      </c>
      <c r="E100" s="474">
        <v>111</v>
      </c>
      <c r="F100" s="470">
        <v>30</v>
      </c>
    </row>
    <row r="101" spans="1:6" x14ac:dyDescent="0.35">
      <c r="A101" s="16" t="s">
        <v>425</v>
      </c>
      <c r="B101" s="474">
        <v>46</v>
      </c>
      <c r="C101" s="474">
        <v>37</v>
      </c>
      <c r="D101" s="474">
        <v>18</v>
      </c>
      <c r="E101" s="474">
        <v>149</v>
      </c>
      <c r="F101" s="470">
        <v>30</v>
      </c>
    </row>
    <row r="102" spans="1:6" x14ac:dyDescent="0.35">
      <c r="A102" s="16" t="s">
        <v>426</v>
      </c>
      <c r="B102" s="474">
        <v>42</v>
      </c>
      <c r="C102" s="474">
        <v>34</v>
      </c>
      <c r="D102" s="474">
        <v>17</v>
      </c>
      <c r="E102" s="474">
        <v>219</v>
      </c>
      <c r="F102" s="470">
        <v>30</v>
      </c>
    </row>
    <row r="103" spans="1:6" x14ac:dyDescent="0.35">
      <c r="A103" s="16" t="s">
        <v>427</v>
      </c>
      <c r="B103" s="474">
        <v>22</v>
      </c>
      <c r="C103" s="474">
        <v>18</v>
      </c>
      <c r="D103" s="474">
        <v>9</v>
      </c>
      <c r="E103" s="474">
        <v>74</v>
      </c>
      <c r="F103" s="470">
        <v>30</v>
      </c>
    </row>
    <row r="104" spans="1:6" x14ac:dyDescent="0.35">
      <c r="A104" s="16" t="s">
        <v>428</v>
      </c>
      <c r="B104" s="474">
        <v>38</v>
      </c>
      <c r="C104" s="474">
        <v>30</v>
      </c>
      <c r="D104" s="474">
        <v>15</v>
      </c>
      <c r="E104" s="474">
        <v>115</v>
      </c>
      <c r="F104" s="470">
        <v>30</v>
      </c>
    </row>
    <row r="105" spans="1:6" x14ac:dyDescent="0.35">
      <c r="A105" s="16" t="s">
        <v>429</v>
      </c>
      <c r="B105" s="474">
        <v>51</v>
      </c>
      <c r="C105" s="474">
        <v>41</v>
      </c>
      <c r="D105" s="474">
        <v>20</v>
      </c>
      <c r="E105" s="474">
        <v>215</v>
      </c>
      <c r="F105" s="470">
        <v>30</v>
      </c>
    </row>
    <row r="106" spans="1:6" x14ac:dyDescent="0.35">
      <c r="A106" s="16" t="s">
        <v>430</v>
      </c>
      <c r="B106" s="474">
        <v>58</v>
      </c>
      <c r="C106" s="474">
        <v>46</v>
      </c>
      <c r="D106" s="474">
        <v>23</v>
      </c>
      <c r="E106" s="474">
        <v>190</v>
      </c>
      <c r="F106" s="470">
        <v>30</v>
      </c>
    </row>
    <row r="107" spans="1:6" x14ac:dyDescent="0.35">
      <c r="A107" s="16" t="s">
        <v>431</v>
      </c>
      <c r="B107" s="474">
        <v>23</v>
      </c>
      <c r="C107" s="474">
        <v>18</v>
      </c>
      <c r="D107" s="474">
        <v>9</v>
      </c>
      <c r="E107" s="474">
        <v>92</v>
      </c>
      <c r="F107" s="470">
        <v>30</v>
      </c>
    </row>
    <row r="108" spans="1:6" x14ac:dyDescent="0.35">
      <c r="A108" s="16" t="s">
        <v>432</v>
      </c>
      <c r="B108" s="474">
        <v>40</v>
      </c>
      <c r="C108" s="474">
        <v>32</v>
      </c>
      <c r="D108" s="474">
        <v>16</v>
      </c>
      <c r="E108" s="474">
        <v>108</v>
      </c>
      <c r="F108" s="470">
        <v>30</v>
      </c>
    </row>
    <row r="109" spans="1:6" x14ac:dyDescent="0.35">
      <c r="A109" s="16" t="s">
        <v>433</v>
      </c>
      <c r="B109" s="474">
        <v>19</v>
      </c>
      <c r="C109" s="474">
        <v>15</v>
      </c>
      <c r="D109" s="474">
        <v>8</v>
      </c>
      <c r="E109" s="474">
        <v>57</v>
      </c>
      <c r="F109" s="470">
        <v>30</v>
      </c>
    </row>
    <row r="110" spans="1:6" x14ac:dyDescent="0.35">
      <c r="A110" s="16" t="s">
        <v>434</v>
      </c>
      <c r="B110" s="474">
        <v>29</v>
      </c>
      <c r="C110" s="474">
        <v>23</v>
      </c>
      <c r="D110" s="474">
        <v>12</v>
      </c>
      <c r="E110" s="474">
        <v>107</v>
      </c>
      <c r="F110" s="470">
        <v>30</v>
      </c>
    </row>
    <row r="111" spans="1:6" x14ac:dyDescent="0.35">
      <c r="A111" s="16" t="s">
        <v>435</v>
      </c>
      <c r="B111" s="474">
        <v>38</v>
      </c>
      <c r="C111" s="474">
        <v>30</v>
      </c>
      <c r="D111" s="474">
        <v>15</v>
      </c>
      <c r="E111" s="474">
        <v>228</v>
      </c>
      <c r="F111" s="470">
        <v>30</v>
      </c>
    </row>
    <row r="112" spans="1:6" x14ac:dyDescent="0.35">
      <c r="A112" s="16" t="s">
        <v>436</v>
      </c>
      <c r="B112" s="474">
        <v>46</v>
      </c>
      <c r="C112" s="474">
        <v>37</v>
      </c>
      <c r="D112" s="474">
        <v>18</v>
      </c>
      <c r="E112" s="474">
        <v>241</v>
      </c>
      <c r="F112" s="470">
        <v>30</v>
      </c>
    </row>
    <row r="113" spans="1:6" x14ac:dyDescent="0.35">
      <c r="A113" s="16" t="s">
        <v>437</v>
      </c>
      <c r="B113" s="474">
        <v>27</v>
      </c>
      <c r="C113" s="474">
        <v>22</v>
      </c>
      <c r="D113" s="474">
        <v>11</v>
      </c>
      <c r="E113" s="474">
        <v>96</v>
      </c>
      <c r="F113" s="470">
        <v>30</v>
      </c>
    </row>
    <row r="114" spans="1:6" x14ac:dyDescent="0.35">
      <c r="A114" s="16" t="s">
        <v>438</v>
      </c>
      <c r="B114" s="474">
        <v>20</v>
      </c>
      <c r="C114" s="474">
        <v>16</v>
      </c>
      <c r="D114" s="474">
        <v>8</v>
      </c>
      <c r="E114" s="474">
        <v>103</v>
      </c>
      <c r="F114" s="470">
        <v>30</v>
      </c>
    </row>
    <row r="115" spans="1:6" x14ac:dyDescent="0.35">
      <c r="A115" s="16" t="s">
        <v>439</v>
      </c>
      <c r="B115" s="474">
        <v>29</v>
      </c>
      <c r="C115" s="474">
        <v>23</v>
      </c>
      <c r="D115" s="474">
        <v>12</v>
      </c>
      <c r="E115" s="474">
        <v>76</v>
      </c>
      <c r="F115" s="470">
        <v>30</v>
      </c>
    </row>
    <row r="116" spans="1:6" x14ac:dyDescent="0.35">
      <c r="A116" s="16" t="s">
        <v>440</v>
      </c>
      <c r="B116" s="474">
        <v>49</v>
      </c>
      <c r="C116" s="474">
        <v>39</v>
      </c>
      <c r="D116" s="474">
        <v>20</v>
      </c>
      <c r="E116" s="474">
        <v>123</v>
      </c>
      <c r="F116" s="470">
        <v>30</v>
      </c>
    </row>
    <row r="117" spans="1:6" x14ac:dyDescent="0.35">
      <c r="A117" s="16" t="s">
        <v>441</v>
      </c>
      <c r="B117" s="474">
        <v>52</v>
      </c>
      <c r="C117" s="474">
        <v>42</v>
      </c>
      <c r="D117" s="474">
        <v>21</v>
      </c>
      <c r="E117" s="474">
        <v>135</v>
      </c>
      <c r="F117" s="470">
        <v>30</v>
      </c>
    </row>
    <row r="118" spans="1:6" x14ac:dyDescent="0.35">
      <c r="A118" s="16" t="s">
        <v>329</v>
      </c>
      <c r="B118" s="474">
        <v>46</v>
      </c>
      <c r="C118" s="474">
        <v>37</v>
      </c>
      <c r="D118" s="474">
        <v>18</v>
      </c>
      <c r="E118" s="474">
        <v>190</v>
      </c>
      <c r="F118" s="470">
        <v>30</v>
      </c>
    </row>
    <row r="119" spans="1:6" x14ac:dyDescent="0.35">
      <c r="A119" s="16" t="s">
        <v>442</v>
      </c>
      <c r="B119" s="474">
        <v>21</v>
      </c>
      <c r="C119" s="474">
        <v>17</v>
      </c>
      <c r="D119" s="474">
        <v>8</v>
      </c>
      <c r="E119" s="474">
        <v>109</v>
      </c>
      <c r="F119" s="470">
        <v>30</v>
      </c>
    </row>
    <row r="120" spans="1:6" x14ac:dyDescent="0.35">
      <c r="A120" s="16" t="s">
        <v>443</v>
      </c>
      <c r="B120" s="474">
        <v>39</v>
      </c>
      <c r="C120" s="474">
        <v>31</v>
      </c>
      <c r="D120" s="474">
        <v>16</v>
      </c>
      <c r="E120" s="474">
        <v>130</v>
      </c>
      <c r="F120" s="470">
        <v>30</v>
      </c>
    </row>
    <row r="121" spans="1:6" x14ac:dyDescent="0.35">
      <c r="A121" s="16" t="s">
        <v>444</v>
      </c>
      <c r="B121" s="474">
        <v>28</v>
      </c>
      <c r="C121" s="474">
        <v>22</v>
      </c>
      <c r="D121" s="474">
        <v>11</v>
      </c>
      <c r="E121" s="474">
        <v>87</v>
      </c>
      <c r="F121" s="470">
        <v>30</v>
      </c>
    </row>
    <row r="122" spans="1:6" x14ac:dyDescent="0.35">
      <c r="A122" s="16" t="s">
        <v>445</v>
      </c>
      <c r="B122" s="474">
        <v>39</v>
      </c>
      <c r="C122" s="474">
        <v>31</v>
      </c>
      <c r="D122" s="474">
        <v>16</v>
      </c>
      <c r="E122" s="474">
        <v>123</v>
      </c>
      <c r="F122" s="470">
        <v>30</v>
      </c>
    </row>
    <row r="123" spans="1:6" x14ac:dyDescent="0.35">
      <c r="A123" s="16" t="s">
        <v>446</v>
      </c>
      <c r="B123" s="474">
        <v>28</v>
      </c>
      <c r="C123" s="474">
        <v>22</v>
      </c>
      <c r="D123" s="474">
        <v>11</v>
      </c>
      <c r="E123" s="474">
        <v>88</v>
      </c>
      <c r="F123" s="470">
        <v>30</v>
      </c>
    </row>
    <row r="124" spans="1:6" x14ac:dyDescent="0.35">
      <c r="A124" s="16" t="s">
        <v>447</v>
      </c>
      <c r="B124" s="474">
        <v>43</v>
      </c>
      <c r="C124" s="474">
        <v>34</v>
      </c>
      <c r="D124" s="474">
        <v>17</v>
      </c>
      <c r="E124" s="474">
        <v>170</v>
      </c>
      <c r="F124" s="470">
        <v>30</v>
      </c>
    </row>
    <row r="125" spans="1:6" x14ac:dyDescent="0.35">
      <c r="A125" s="16" t="s">
        <v>448</v>
      </c>
      <c r="B125" s="474">
        <v>31</v>
      </c>
      <c r="C125" s="474">
        <v>25</v>
      </c>
      <c r="D125" s="474">
        <v>12</v>
      </c>
      <c r="E125" s="474">
        <v>120</v>
      </c>
      <c r="F125" s="470">
        <v>30</v>
      </c>
    </row>
    <row r="126" spans="1:6" x14ac:dyDescent="0.35">
      <c r="A126" s="16" t="s">
        <v>449</v>
      </c>
      <c r="B126" s="474">
        <v>38</v>
      </c>
      <c r="C126" s="474">
        <v>30</v>
      </c>
      <c r="D126" s="474">
        <v>15</v>
      </c>
      <c r="E126" s="474">
        <v>114</v>
      </c>
      <c r="F126" s="470">
        <v>30</v>
      </c>
    </row>
    <row r="127" spans="1:6" x14ac:dyDescent="0.35">
      <c r="A127" s="16" t="s">
        <v>450</v>
      </c>
      <c r="B127" s="474">
        <v>35</v>
      </c>
      <c r="C127" s="474">
        <v>28</v>
      </c>
      <c r="D127" s="474">
        <v>14</v>
      </c>
      <c r="E127" s="474">
        <v>129</v>
      </c>
      <c r="F127" s="470">
        <v>30</v>
      </c>
    </row>
    <row r="128" spans="1:6" x14ac:dyDescent="0.35">
      <c r="A128" s="16" t="s">
        <v>451</v>
      </c>
      <c r="B128" s="474">
        <v>52</v>
      </c>
      <c r="C128" s="474">
        <v>42</v>
      </c>
      <c r="D128" s="474">
        <v>21</v>
      </c>
      <c r="E128" s="474">
        <v>102</v>
      </c>
      <c r="F128" s="470">
        <v>30</v>
      </c>
    </row>
    <row r="129" spans="1:6" x14ac:dyDescent="0.35">
      <c r="A129" s="16" t="s">
        <v>452</v>
      </c>
      <c r="B129" s="474">
        <v>32</v>
      </c>
      <c r="C129" s="474">
        <v>26</v>
      </c>
      <c r="D129" s="474">
        <v>13</v>
      </c>
      <c r="E129" s="474">
        <v>105</v>
      </c>
      <c r="F129" s="470">
        <v>30</v>
      </c>
    </row>
    <row r="130" spans="1:6" x14ac:dyDescent="0.35">
      <c r="A130" s="16" t="s">
        <v>453</v>
      </c>
      <c r="B130" s="474">
        <v>45</v>
      </c>
      <c r="C130" s="474">
        <v>36</v>
      </c>
      <c r="D130" s="474">
        <v>18</v>
      </c>
      <c r="E130" s="474">
        <v>220</v>
      </c>
      <c r="F130" s="470">
        <v>30</v>
      </c>
    </row>
    <row r="131" spans="1:6" x14ac:dyDescent="0.35">
      <c r="A131" s="16" t="s">
        <v>454</v>
      </c>
      <c r="B131" s="474">
        <v>24</v>
      </c>
      <c r="C131" s="474">
        <v>19</v>
      </c>
      <c r="D131" s="474">
        <v>10</v>
      </c>
      <c r="E131" s="474">
        <v>95</v>
      </c>
      <c r="F131" s="470">
        <v>30</v>
      </c>
    </row>
    <row r="132" spans="1:6" x14ac:dyDescent="0.35">
      <c r="A132" s="16" t="s">
        <v>455</v>
      </c>
      <c r="B132" s="474">
        <v>40</v>
      </c>
      <c r="C132" s="474">
        <v>32</v>
      </c>
      <c r="D132" s="474">
        <v>16</v>
      </c>
      <c r="E132" s="474">
        <v>177</v>
      </c>
      <c r="F132" s="470">
        <v>30</v>
      </c>
    </row>
    <row r="133" spans="1:6" x14ac:dyDescent="0.35">
      <c r="A133" s="16" t="s">
        <v>456</v>
      </c>
      <c r="B133" s="474">
        <v>20</v>
      </c>
      <c r="C133" s="474">
        <v>16</v>
      </c>
      <c r="D133" s="474">
        <v>8</v>
      </c>
      <c r="E133" s="474">
        <v>88</v>
      </c>
      <c r="F133" s="470">
        <v>30</v>
      </c>
    </row>
    <row r="134" spans="1:6" x14ac:dyDescent="0.35">
      <c r="A134" s="16" t="s">
        <v>457</v>
      </c>
      <c r="B134" s="474">
        <v>35</v>
      </c>
      <c r="C134" s="474">
        <v>28</v>
      </c>
      <c r="D134" s="474">
        <v>14</v>
      </c>
      <c r="E134" s="474">
        <v>180</v>
      </c>
      <c r="F134" s="470">
        <v>30</v>
      </c>
    </row>
    <row r="135" spans="1:6" x14ac:dyDescent="0.35">
      <c r="A135" s="16" t="s">
        <v>458</v>
      </c>
      <c r="B135" s="474">
        <v>22</v>
      </c>
      <c r="C135" s="474">
        <v>18</v>
      </c>
      <c r="D135" s="474">
        <v>9</v>
      </c>
      <c r="E135" s="474">
        <v>92</v>
      </c>
      <c r="F135" s="470">
        <v>30</v>
      </c>
    </row>
    <row r="136" spans="1:6" x14ac:dyDescent="0.35">
      <c r="A136" s="16" t="s">
        <v>459</v>
      </c>
      <c r="B136" s="474">
        <v>24</v>
      </c>
      <c r="C136" s="474">
        <v>19</v>
      </c>
      <c r="D136" s="474">
        <v>10</v>
      </c>
      <c r="E136" s="474">
        <v>94</v>
      </c>
      <c r="F136" s="470">
        <v>30</v>
      </c>
    </row>
    <row r="137" spans="1:6" x14ac:dyDescent="0.35">
      <c r="A137" s="16" t="s">
        <v>460</v>
      </c>
      <c r="B137" s="474">
        <v>31</v>
      </c>
      <c r="C137" s="474">
        <v>25</v>
      </c>
      <c r="D137" s="474">
        <v>12</v>
      </c>
      <c r="E137" s="474">
        <v>146</v>
      </c>
      <c r="F137" s="470">
        <v>30</v>
      </c>
    </row>
    <row r="138" spans="1:6" x14ac:dyDescent="0.35">
      <c r="A138" s="16" t="s">
        <v>461</v>
      </c>
      <c r="B138" s="474">
        <v>29</v>
      </c>
      <c r="C138" s="474">
        <v>23</v>
      </c>
      <c r="D138" s="474">
        <v>12</v>
      </c>
      <c r="E138" s="474">
        <v>155</v>
      </c>
      <c r="F138" s="470">
        <v>30</v>
      </c>
    </row>
    <row r="139" spans="1:6" x14ac:dyDescent="0.35">
      <c r="A139" s="16" t="s">
        <v>462</v>
      </c>
      <c r="B139" s="474">
        <v>25</v>
      </c>
      <c r="C139" s="474">
        <v>20</v>
      </c>
      <c r="D139" s="474">
        <v>10</v>
      </c>
      <c r="E139" s="474">
        <v>112</v>
      </c>
      <c r="F139" s="470">
        <v>30</v>
      </c>
    </row>
    <row r="140" spans="1:6" x14ac:dyDescent="0.35">
      <c r="A140" s="16" t="s">
        <v>463</v>
      </c>
      <c r="B140" s="474">
        <v>30</v>
      </c>
      <c r="C140" s="474">
        <v>24</v>
      </c>
      <c r="D140" s="474">
        <v>12</v>
      </c>
      <c r="E140" s="474">
        <v>126</v>
      </c>
      <c r="F140" s="470">
        <v>30</v>
      </c>
    </row>
    <row r="141" spans="1:6" x14ac:dyDescent="0.35">
      <c r="A141" s="16" t="s">
        <v>464</v>
      </c>
      <c r="B141" s="474">
        <v>46</v>
      </c>
      <c r="C141" s="474">
        <v>37</v>
      </c>
      <c r="D141" s="474">
        <v>18</v>
      </c>
      <c r="E141" s="474">
        <v>153</v>
      </c>
      <c r="F141" s="470">
        <v>30</v>
      </c>
    </row>
    <row r="142" spans="1:6" x14ac:dyDescent="0.35">
      <c r="A142" s="16" t="s">
        <v>465</v>
      </c>
      <c r="B142" s="474">
        <v>30</v>
      </c>
      <c r="C142" s="474">
        <v>24</v>
      </c>
      <c r="D142" s="474">
        <v>12</v>
      </c>
      <c r="E142" s="474">
        <v>81</v>
      </c>
      <c r="F142" s="470">
        <v>30</v>
      </c>
    </row>
    <row r="143" spans="1:6" x14ac:dyDescent="0.35">
      <c r="A143" s="16" t="s">
        <v>466</v>
      </c>
      <c r="B143" s="474">
        <v>39</v>
      </c>
      <c r="C143" s="474">
        <v>31</v>
      </c>
      <c r="D143" s="474">
        <v>16</v>
      </c>
      <c r="E143" s="474">
        <v>122</v>
      </c>
      <c r="F143" s="470">
        <v>30</v>
      </c>
    </row>
    <row r="144" spans="1:6" x14ac:dyDescent="0.35">
      <c r="A144" s="16" t="s">
        <v>467</v>
      </c>
      <c r="B144" s="474">
        <v>35</v>
      </c>
      <c r="C144" s="474">
        <v>28</v>
      </c>
      <c r="D144" s="474">
        <v>14</v>
      </c>
      <c r="E144" s="474">
        <v>131</v>
      </c>
      <c r="F144" s="470">
        <v>30</v>
      </c>
    </row>
    <row r="145" spans="1:6" x14ac:dyDescent="0.35">
      <c r="A145" s="16" t="s">
        <v>468</v>
      </c>
      <c r="B145" s="474">
        <v>38</v>
      </c>
      <c r="C145" s="474">
        <v>30</v>
      </c>
      <c r="D145" s="474">
        <v>15</v>
      </c>
      <c r="E145" s="474">
        <v>182</v>
      </c>
      <c r="F145" s="470">
        <v>30</v>
      </c>
    </row>
    <row r="146" spans="1:6" x14ac:dyDescent="0.35">
      <c r="A146" s="16" t="s">
        <v>327</v>
      </c>
      <c r="B146" s="474">
        <v>66</v>
      </c>
      <c r="C146" s="474">
        <v>53</v>
      </c>
      <c r="D146" s="474">
        <v>26</v>
      </c>
      <c r="E146" s="474">
        <v>182</v>
      </c>
      <c r="F146" s="470">
        <v>30</v>
      </c>
    </row>
    <row r="147" spans="1:6" x14ac:dyDescent="0.35">
      <c r="A147" s="16" t="s">
        <v>469</v>
      </c>
      <c r="B147" s="474">
        <v>33</v>
      </c>
      <c r="C147" s="474">
        <v>26</v>
      </c>
      <c r="D147" s="474">
        <v>13</v>
      </c>
      <c r="E147" s="474">
        <v>108</v>
      </c>
      <c r="F147" s="470">
        <v>30</v>
      </c>
    </row>
    <row r="148" spans="1:6" x14ac:dyDescent="0.35">
      <c r="A148" s="16" t="s">
        <v>470</v>
      </c>
      <c r="B148" s="474">
        <v>50</v>
      </c>
      <c r="C148" s="474">
        <v>40</v>
      </c>
      <c r="D148" s="474">
        <v>20</v>
      </c>
      <c r="E148" s="474">
        <v>200</v>
      </c>
      <c r="F148" s="470">
        <v>30</v>
      </c>
    </row>
    <row r="149" spans="1:6" x14ac:dyDescent="0.35">
      <c r="A149" s="16" t="s">
        <v>471</v>
      </c>
      <c r="B149" s="474">
        <v>19</v>
      </c>
      <c r="C149" s="474">
        <v>15</v>
      </c>
      <c r="D149" s="474">
        <v>8</v>
      </c>
      <c r="E149" s="474">
        <v>238</v>
      </c>
      <c r="F149" s="470">
        <v>30</v>
      </c>
    </row>
    <row r="150" spans="1:6" x14ac:dyDescent="0.35">
      <c r="A150" s="16" t="s">
        <v>472</v>
      </c>
      <c r="B150" s="474">
        <v>28</v>
      </c>
      <c r="C150" s="474">
        <v>22</v>
      </c>
      <c r="D150" s="474">
        <v>11</v>
      </c>
      <c r="E150" s="474">
        <v>122</v>
      </c>
      <c r="F150" s="470">
        <v>30</v>
      </c>
    </row>
    <row r="151" spans="1:6" x14ac:dyDescent="0.35">
      <c r="A151" s="16" t="s">
        <v>473</v>
      </c>
      <c r="B151" s="474">
        <v>42</v>
      </c>
      <c r="C151" s="474">
        <v>34</v>
      </c>
      <c r="D151" s="474">
        <v>17</v>
      </c>
      <c r="E151" s="474">
        <v>179</v>
      </c>
      <c r="F151" s="470">
        <v>30</v>
      </c>
    </row>
    <row r="152" spans="1:6" x14ac:dyDescent="0.35">
      <c r="A152" s="16" t="s">
        <v>474</v>
      </c>
      <c r="B152" s="474">
        <v>32</v>
      </c>
      <c r="C152" s="474">
        <v>26</v>
      </c>
      <c r="D152" s="474">
        <v>13</v>
      </c>
      <c r="E152" s="474">
        <v>111</v>
      </c>
      <c r="F152" s="470">
        <v>30</v>
      </c>
    </row>
    <row r="153" spans="1:6" x14ac:dyDescent="0.35">
      <c r="A153" s="16" t="s">
        <v>475</v>
      </c>
      <c r="B153" s="474">
        <v>50</v>
      </c>
      <c r="C153" s="474">
        <v>40</v>
      </c>
      <c r="D153" s="474">
        <v>20</v>
      </c>
      <c r="E153" s="474">
        <v>234</v>
      </c>
      <c r="F153" s="470">
        <v>30</v>
      </c>
    </row>
    <row r="154" spans="1:6" x14ac:dyDescent="0.35">
      <c r="A154" s="16" t="s">
        <v>476</v>
      </c>
      <c r="B154" s="474">
        <v>31</v>
      </c>
      <c r="C154" s="474">
        <v>25</v>
      </c>
      <c r="D154" s="474">
        <v>12</v>
      </c>
      <c r="E154" s="474">
        <v>108</v>
      </c>
      <c r="F154" s="470">
        <v>30</v>
      </c>
    </row>
    <row r="155" spans="1:6" x14ac:dyDescent="0.35">
      <c r="A155" s="16" t="s">
        <v>477</v>
      </c>
      <c r="B155" s="474">
        <v>28</v>
      </c>
      <c r="C155" s="474">
        <v>22</v>
      </c>
      <c r="D155" s="474">
        <v>11</v>
      </c>
      <c r="E155" s="474">
        <v>143</v>
      </c>
      <c r="F155" s="470">
        <v>30</v>
      </c>
    </row>
    <row r="156" spans="1:6" x14ac:dyDescent="0.35">
      <c r="A156" s="16" t="s">
        <v>478</v>
      </c>
      <c r="B156" s="474">
        <v>27</v>
      </c>
      <c r="C156" s="474">
        <v>22</v>
      </c>
      <c r="D156" s="474">
        <v>11</v>
      </c>
      <c r="E156" s="474">
        <v>116</v>
      </c>
      <c r="F156" s="470">
        <v>30</v>
      </c>
    </row>
    <row r="157" spans="1:6" x14ac:dyDescent="0.35">
      <c r="A157" s="16" t="s">
        <v>479</v>
      </c>
      <c r="B157" s="474">
        <v>27</v>
      </c>
      <c r="C157" s="474">
        <v>22</v>
      </c>
      <c r="D157" s="474">
        <v>11</v>
      </c>
      <c r="E157" s="474">
        <v>117</v>
      </c>
      <c r="F157" s="470">
        <v>30</v>
      </c>
    </row>
    <row r="158" spans="1:6" x14ac:dyDescent="0.35">
      <c r="A158" s="16" t="s">
        <v>480</v>
      </c>
      <c r="B158" s="474">
        <v>25</v>
      </c>
      <c r="C158" s="474">
        <v>20</v>
      </c>
      <c r="D158" s="474">
        <v>10</v>
      </c>
      <c r="E158" s="474">
        <v>84</v>
      </c>
      <c r="F158" s="470">
        <v>30</v>
      </c>
    </row>
    <row r="159" spans="1:6" x14ac:dyDescent="0.35">
      <c r="A159" s="16" t="s">
        <v>481</v>
      </c>
      <c r="B159" s="474">
        <v>22</v>
      </c>
      <c r="C159" s="474">
        <v>18</v>
      </c>
      <c r="D159" s="474">
        <v>9</v>
      </c>
      <c r="E159" s="474">
        <v>86</v>
      </c>
      <c r="F159" s="470">
        <v>30</v>
      </c>
    </row>
    <row r="160" spans="1:6" x14ac:dyDescent="0.35">
      <c r="A160" s="16" t="s">
        <v>482</v>
      </c>
      <c r="B160" s="474">
        <v>24</v>
      </c>
      <c r="C160" s="474">
        <v>19</v>
      </c>
      <c r="D160" s="474">
        <v>10</v>
      </c>
      <c r="E160" s="474">
        <v>109</v>
      </c>
      <c r="F160" s="470">
        <v>30</v>
      </c>
    </row>
    <row r="161" spans="1:6" x14ac:dyDescent="0.35">
      <c r="A161" s="16" t="s">
        <v>483</v>
      </c>
      <c r="B161" s="474">
        <v>24</v>
      </c>
      <c r="C161" s="474">
        <v>19</v>
      </c>
      <c r="D161" s="474">
        <v>10</v>
      </c>
      <c r="E161" s="474">
        <v>60</v>
      </c>
      <c r="F161" s="470">
        <v>30</v>
      </c>
    </row>
    <row r="162" spans="1:6" x14ac:dyDescent="0.35">
      <c r="A162" s="16" t="s">
        <v>484</v>
      </c>
      <c r="B162" s="474">
        <v>30</v>
      </c>
      <c r="C162" s="474">
        <v>24</v>
      </c>
      <c r="D162" s="474">
        <v>12</v>
      </c>
      <c r="E162" s="474">
        <v>102</v>
      </c>
      <c r="F162" s="470">
        <v>30</v>
      </c>
    </row>
    <row r="163" spans="1:6" x14ac:dyDescent="0.35">
      <c r="A163" s="16" t="s">
        <v>485</v>
      </c>
      <c r="B163" s="474">
        <v>38</v>
      </c>
      <c r="C163" s="474">
        <v>30</v>
      </c>
      <c r="D163" s="474">
        <v>15</v>
      </c>
      <c r="E163" s="474">
        <v>141</v>
      </c>
      <c r="F163" s="470">
        <v>30</v>
      </c>
    </row>
    <row r="164" spans="1:6" x14ac:dyDescent="0.35">
      <c r="A164" s="16" t="s">
        <v>486</v>
      </c>
      <c r="B164" s="474">
        <v>26</v>
      </c>
      <c r="C164" s="474">
        <v>21</v>
      </c>
      <c r="D164" s="474">
        <v>10</v>
      </c>
      <c r="E164" s="474">
        <v>92</v>
      </c>
      <c r="F164" s="470">
        <v>30</v>
      </c>
    </row>
    <row r="165" spans="1:6" x14ac:dyDescent="0.35">
      <c r="A165" s="16" t="s">
        <v>487</v>
      </c>
      <c r="B165" s="474">
        <v>22</v>
      </c>
      <c r="C165" s="474">
        <v>18</v>
      </c>
      <c r="D165" s="474">
        <v>9</v>
      </c>
      <c r="E165" s="474">
        <v>89</v>
      </c>
      <c r="F165" s="470">
        <v>30</v>
      </c>
    </row>
    <row r="166" spans="1:6" x14ac:dyDescent="0.35">
      <c r="A166" s="16" t="s">
        <v>488</v>
      </c>
      <c r="B166" s="474">
        <v>23</v>
      </c>
      <c r="C166" s="474">
        <v>18</v>
      </c>
      <c r="D166" s="474">
        <v>9</v>
      </c>
      <c r="E166" s="474">
        <v>84</v>
      </c>
      <c r="F166" s="470">
        <v>30</v>
      </c>
    </row>
    <row r="167" spans="1:6" x14ac:dyDescent="0.35">
      <c r="A167" s="16" t="s">
        <v>489</v>
      </c>
      <c r="B167" s="474">
        <v>25</v>
      </c>
      <c r="C167" s="474">
        <v>20</v>
      </c>
      <c r="D167" s="474">
        <v>10</v>
      </c>
      <c r="E167" s="474">
        <v>110</v>
      </c>
      <c r="F167" s="470">
        <v>30</v>
      </c>
    </row>
    <row r="168" spans="1:6" x14ac:dyDescent="0.35">
      <c r="A168" s="16" t="s">
        <v>490</v>
      </c>
      <c r="B168" s="474">
        <v>21</v>
      </c>
      <c r="C168" s="474">
        <v>17</v>
      </c>
      <c r="D168" s="474">
        <v>8</v>
      </c>
      <c r="E168" s="474">
        <v>114</v>
      </c>
      <c r="F168" s="470">
        <v>30</v>
      </c>
    </row>
    <row r="169" spans="1:6" x14ac:dyDescent="0.35">
      <c r="A169" s="16" t="s">
        <v>491</v>
      </c>
      <c r="B169" s="474">
        <v>20</v>
      </c>
      <c r="C169" s="474">
        <v>16</v>
      </c>
      <c r="D169" s="474">
        <v>8</v>
      </c>
      <c r="E169" s="474">
        <v>58</v>
      </c>
      <c r="F169" s="470">
        <v>30</v>
      </c>
    </row>
    <row r="170" spans="1:6" x14ac:dyDescent="0.35">
      <c r="A170" s="16" t="s">
        <v>492</v>
      </c>
      <c r="B170" s="474">
        <v>30</v>
      </c>
      <c r="C170" s="474">
        <v>24</v>
      </c>
      <c r="D170" s="474">
        <v>12</v>
      </c>
      <c r="E170" s="474">
        <v>130</v>
      </c>
      <c r="F170" s="470">
        <v>30</v>
      </c>
    </row>
    <row r="171" spans="1:6" x14ac:dyDescent="0.35">
      <c r="A171" s="16" t="s">
        <v>493</v>
      </c>
      <c r="B171" s="474">
        <v>24</v>
      </c>
      <c r="C171" s="474">
        <v>19</v>
      </c>
      <c r="D171" s="474">
        <v>10</v>
      </c>
      <c r="E171" s="474">
        <v>85</v>
      </c>
      <c r="F171" s="470">
        <v>30</v>
      </c>
    </row>
    <row r="172" spans="1:6" x14ac:dyDescent="0.35">
      <c r="A172" s="16" t="s">
        <v>494</v>
      </c>
      <c r="B172" s="474">
        <v>28</v>
      </c>
      <c r="C172" s="474">
        <v>22</v>
      </c>
      <c r="D172" s="474">
        <v>11</v>
      </c>
      <c r="E172" s="474">
        <v>75</v>
      </c>
      <c r="F172" s="470">
        <v>30</v>
      </c>
    </row>
    <row r="173" spans="1:6" x14ac:dyDescent="0.35">
      <c r="A173" s="16" t="s">
        <v>495</v>
      </c>
      <c r="B173" s="474">
        <v>39</v>
      </c>
      <c r="C173" s="474">
        <v>31</v>
      </c>
      <c r="D173" s="474">
        <v>16</v>
      </c>
      <c r="E173" s="474">
        <v>80</v>
      </c>
      <c r="F173" s="470">
        <v>30</v>
      </c>
    </row>
    <row r="174" spans="1:6" x14ac:dyDescent="0.35">
      <c r="A174" s="16" t="s">
        <v>496</v>
      </c>
      <c r="B174" s="474">
        <v>31</v>
      </c>
      <c r="C174" s="474">
        <v>25</v>
      </c>
      <c r="D174" s="474">
        <v>12</v>
      </c>
      <c r="E174" s="474">
        <v>234</v>
      </c>
      <c r="F174" s="470">
        <v>30</v>
      </c>
    </row>
    <row r="175" spans="1:6" x14ac:dyDescent="0.35">
      <c r="A175" s="16" t="s">
        <v>497</v>
      </c>
      <c r="B175" s="474">
        <v>40</v>
      </c>
      <c r="C175" s="474">
        <v>32</v>
      </c>
      <c r="D175" s="474">
        <v>16</v>
      </c>
      <c r="E175" s="474">
        <v>179</v>
      </c>
      <c r="F175" s="470">
        <v>30</v>
      </c>
    </row>
    <row r="176" spans="1:6" x14ac:dyDescent="0.35">
      <c r="A176" s="16" t="s">
        <v>498</v>
      </c>
      <c r="B176" s="474">
        <v>40</v>
      </c>
      <c r="C176" s="474">
        <v>32</v>
      </c>
      <c r="D176" s="474">
        <v>16</v>
      </c>
      <c r="E176" s="474">
        <v>80</v>
      </c>
      <c r="F176" s="470">
        <v>30</v>
      </c>
    </row>
    <row r="177" spans="1:6" x14ac:dyDescent="0.35">
      <c r="A177" s="16" t="s">
        <v>499</v>
      </c>
      <c r="B177" s="474">
        <v>41</v>
      </c>
      <c r="C177" s="474">
        <v>33</v>
      </c>
      <c r="D177" s="474">
        <v>16</v>
      </c>
      <c r="E177" s="474">
        <v>168</v>
      </c>
      <c r="F177" s="470">
        <v>30</v>
      </c>
    </row>
    <row r="178" spans="1:6" x14ac:dyDescent="0.35">
      <c r="A178" s="16" t="s">
        <v>500</v>
      </c>
      <c r="B178" s="474">
        <v>55</v>
      </c>
      <c r="C178" s="474">
        <v>44</v>
      </c>
      <c r="D178" s="474">
        <v>22</v>
      </c>
      <c r="E178" s="474">
        <v>186</v>
      </c>
      <c r="F178" s="470">
        <v>30</v>
      </c>
    </row>
    <row r="179" spans="1:6" x14ac:dyDescent="0.35">
      <c r="A179" s="16" t="s">
        <v>501</v>
      </c>
      <c r="B179" s="474">
        <v>53</v>
      </c>
      <c r="C179" s="474">
        <v>42</v>
      </c>
      <c r="D179" s="474">
        <v>21</v>
      </c>
      <c r="E179" s="474">
        <v>180</v>
      </c>
      <c r="F179" s="470">
        <v>30</v>
      </c>
    </row>
    <row r="180" spans="1:6" x14ac:dyDescent="0.35">
      <c r="A180" s="16" t="s">
        <v>502</v>
      </c>
      <c r="B180" s="474">
        <v>35</v>
      </c>
      <c r="C180" s="474">
        <v>28</v>
      </c>
      <c r="D180" s="474">
        <v>14</v>
      </c>
      <c r="E180" s="474">
        <v>190</v>
      </c>
      <c r="F180" s="470">
        <v>30</v>
      </c>
    </row>
    <row r="181" spans="1:6" x14ac:dyDescent="0.35">
      <c r="A181" s="16" t="s">
        <v>503</v>
      </c>
      <c r="B181" s="474">
        <v>16</v>
      </c>
      <c r="C181" s="474">
        <v>13</v>
      </c>
      <c r="D181" s="474">
        <v>6</v>
      </c>
      <c r="E181" s="474">
        <v>74</v>
      </c>
      <c r="F181" s="470">
        <v>30</v>
      </c>
    </row>
    <row r="182" spans="1:6" x14ac:dyDescent="0.35">
      <c r="A182" s="16" t="s">
        <v>504</v>
      </c>
      <c r="B182" s="474">
        <v>40</v>
      </c>
      <c r="C182" s="474">
        <v>32</v>
      </c>
      <c r="D182" s="474">
        <v>16</v>
      </c>
      <c r="E182" s="474">
        <v>161</v>
      </c>
      <c r="F182" s="470">
        <v>30</v>
      </c>
    </row>
    <row r="183" spans="1:6" x14ac:dyDescent="0.35">
      <c r="A183" s="16" t="s">
        <v>505</v>
      </c>
      <c r="B183" s="474">
        <v>37</v>
      </c>
      <c r="C183" s="474">
        <v>30</v>
      </c>
      <c r="D183" s="474">
        <v>15</v>
      </c>
      <c r="E183" s="474">
        <v>140</v>
      </c>
      <c r="F183" s="470">
        <v>30</v>
      </c>
    </row>
    <row r="184" spans="1:6" x14ac:dyDescent="0.35">
      <c r="A184" s="16" t="s">
        <v>506</v>
      </c>
      <c r="B184" s="474">
        <v>45</v>
      </c>
      <c r="C184" s="474">
        <v>36</v>
      </c>
      <c r="D184" s="474">
        <v>18</v>
      </c>
      <c r="E184" s="474">
        <v>197</v>
      </c>
      <c r="F184" s="470">
        <v>30</v>
      </c>
    </row>
    <row r="185" spans="1:6" x14ac:dyDescent="0.35">
      <c r="A185" s="16" t="s">
        <v>507</v>
      </c>
      <c r="B185" s="474">
        <v>20</v>
      </c>
      <c r="C185" s="474">
        <v>16</v>
      </c>
      <c r="D185" s="474">
        <v>8</v>
      </c>
      <c r="E185" s="474">
        <v>85</v>
      </c>
      <c r="F185" s="470">
        <v>30</v>
      </c>
    </row>
    <row r="186" spans="1:6" x14ac:dyDescent="0.35">
      <c r="A186" s="16" t="s">
        <v>508</v>
      </c>
      <c r="B186" s="474">
        <v>27</v>
      </c>
      <c r="C186" s="474">
        <v>22</v>
      </c>
      <c r="D186" s="474">
        <v>11</v>
      </c>
      <c r="E186" s="474">
        <v>95</v>
      </c>
      <c r="F186" s="470">
        <v>30</v>
      </c>
    </row>
    <row r="187" spans="1:6" x14ac:dyDescent="0.35">
      <c r="A187" s="16" t="s">
        <v>509</v>
      </c>
      <c r="B187" s="474">
        <v>28</v>
      </c>
      <c r="C187" s="474">
        <v>22</v>
      </c>
      <c r="D187" s="474">
        <v>11</v>
      </c>
      <c r="E187" s="474">
        <v>118</v>
      </c>
      <c r="F187" s="470">
        <v>30</v>
      </c>
    </row>
    <row r="188" spans="1:6" x14ac:dyDescent="0.35">
      <c r="A188" s="16" t="s">
        <v>510</v>
      </c>
      <c r="B188" s="474">
        <v>33</v>
      </c>
      <c r="C188" s="474">
        <v>26</v>
      </c>
      <c r="D188" s="474">
        <v>13</v>
      </c>
      <c r="E188" s="474">
        <v>115</v>
      </c>
      <c r="F188" s="470">
        <v>30</v>
      </c>
    </row>
    <row r="189" spans="1:6" x14ac:dyDescent="0.35">
      <c r="A189" s="16" t="s">
        <v>511</v>
      </c>
      <c r="B189" s="474">
        <v>33</v>
      </c>
      <c r="C189" s="474">
        <v>26</v>
      </c>
      <c r="D189" s="474">
        <v>13</v>
      </c>
      <c r="E189" s="474">
        <v>118</v>
      </c>
      <c r="F189" s="470">
        <v>30</v>
      </c>
    </row>
    <row r="190" spans="1:6" x14ac:dyDescent="0.35">
      <c r="A190" s="16" t="s">
        <v>512</v>
      </c>
      <c r="B190" s="474">
        <v>29</v>
      </c>
      <c r="C190" s="474">
        <v>23</v>
      </c>
      <c r="D190" s="474">
        <v>12</v>
      </c>
      <c r="E190" s="474">
        <v>121</v>
      </c>
      <c r="F190" s="470">
        <v>30</v>
      </c>
    </row>
    <row r="191" spans="1:6" x14ac:dyDescent="0.35">
      <c r="A191" s="16" t="s">
        <v>513</v>
      </c>
      <c r="B191" s="474">
        <v>28</v>
      </c>
      <c r="C191" s="474">
        <v>22</v>
      </c>
      <c r="D191" s="474">
        <v>11</v>
      </c>
      <c r="E191" s="474">
        <v>115</v>
      </c>
      <c r="F191" s="470">
        <v>30</v>
      </c>
    </row>
    <row r="192" spans="1:6" x14ac:dyDescent="0.35">
      <c r="A192" s="16" t="s">
        <v>514</v>
      </c>
      <c r="B192" s="474">
        <v>35</v>
      </c>
      <c r="C192" s="474">
        <v>28</v>
      </c>
      <c r="D192" s="474">
        <v>14</v>
      </c>
      <c r="E192" s="474">
        <v>100</v>
      </c>
      <c r="F192" s="470">
        <v>30</v>
      </c>
    </row>
    <row r="193" spans="1:6" x14ac:dyDescent="0.35">
      <c r="A193" s="16" t="s">
        <v>515</v>
      </c>
      <c r="B193" s="474">
        <v>27</v>
      </c>
      <c r="C193" s="474">
        <v>22</v>
      </c>
      <c r="D193" s="474">
        <v>11</v>
      </c>
      <c r="E193" s="474">
        <v>195</v>
      </c>
      <c r="F193" s="470">
        <v>30</v>
      </c>
    </row>
    <row r="194" spans="1:6" x14ac:dyDescent="0.35">
      <c r="A194" s="16" t="s">
        <v>516</v>
      </c>
      <c r="B194" s="474">
        <v>22</v>
      </c>
      <c r="C194" s="474">
        <v>18</v>
      </c>
      <c r="D194" s="474">
        <v>9</v>
      </c>
      <c r="E194" s="474">
        <v>112</v>
      </c>
      <c r="F194" s="470">
        <v>30</v>
      </c>
    </row>
    <row r="195" spans="1:6" x14ac:dyDescent="0.35">
      <c r="A195" s="16" t="s">
        <v>517</v>
      </c>
      <c r="B195" s="474">
        <v>24</v>
      </c>
      <c r="C195" s="474">
        <v>19</v>
      </c>
      <c r="D195" s="474">
        <v>10</v>
      </c>
      <c r="E195" s="474">
        <v>124</v>
      </c>
      <c r="F195" s="470">
        <v>30</v>
      </c>
    </row>
    <row r="196" spans="1:6" x14ac:dyDescent="0.35">
      <c r="A196" s="16" t="s">
        <v>518</v>
      </c>
      <c r="B196" s="474">
        <v>18</v>
      </c>
      <c r="C196" s="474">
        <v>14</v>
      </c>
      <c r="D196" s="474">
        <v>7</v>
      </c>
      <c r="E196" s="474">
        <v>94</v>
      </c>
      <c r="F196" s="470">
        <v>30</v>
      </c>
    </row>
    <row r="197" spans="1:6" x14ac:dyDescent="0.35">
      <c r="A197" s="16" t="s">
        <v>519</v>
      </c>
      <c r="B197" s="474">
        <v>28</v>
      </c>
      <c r="C197" s="474">
        <v>22</v>
      </c>
      <c r="D197" s="474">
        <v>11</v>
      </c>
      <c r="E197" s="474">
        <v>150</v>
      </c>
      <c r="F197" s="470">
        <v>30</v>
      </c>
    </row>
    <row r="198" spans="1:6" x14ac:dyDescent="0.35">
      <c r="A198" s="16" t="s">
        <v>520</v>
      </c>
      <c r="B198" s="474">
        <v>31</v>
      </c>
      <c r="C198" s="474">
        <v>25</v>
      </c>
      <c r="D198" s="474">
        <v>12</v>
      </c>
      <c r="E198" s="474">
        <v>140</v>
      </c>
      <c r="F198" s="470">
        <v>30</v>
      </c>
    </row>
    <row r="199" spans="1:6" x14ac:dyDescent="0.35">
      <c r="A199" s="16" t="s">
        <v>521</v>
      </c>
      <c r="B199" s="474">
        <v>22</v>
      </c>
      <c r="C199" s="474">
        <v>18</v>
      </c>
      <c r="D199" s="474">
        <v>9</v>
      </c>
      <c r="E199" s="474">
        <v>118</v>
      </c>
      <c r="F199" s="470">
        <v>30</v>
      </c>
    </row>
    <row r="200" spans="1:6" x14ac:dyDescent="0.35">
      <c r="A200" s="16" t="s">
        <v>522</v>
      </c>
      <c r="B200" s="474">
        <v>38</v>
      </c>
      <c r="C200" s="474">
        <v>30</v>
      </c>
      <c r="D200" s="474">
        <v>15</v>
      </c>
      <c r="E200" s="474">
        <v>143</v>
      </c>
      <c r="F200" s="470">
        <v>30</v>
      </c>
    </row>
    <row r="201" spans="1:6" x14ac:dyDescent="0.35">
      <c r="A201" s="16" t="s">
        <v>523</v>
      </c>
      <c r="B201" s="474">
        <v>39</v>
      </c>
      <c r="C201" s="474">
        <v>31</v>
      </c>
      <c r="D201" s="474">
        <v>16</v>
      </c>
      <c r="E201" s="474">
        <v>201</v>
      </c>
      <c r="F201" s="470">
        <v>30</v>
      </c>
    </row>
    <row r="202" spans="1:6" x14ac:dyDescent="0.35">
      <c r="A202" s="16" t="s">
        <v>524</v>
      </c>
      <c r="B202" s="474">
        <v>31</v>
      </c>
      <c r="C202" s="474">
        <v>25</v>
      </c>
      <c r="D202" s="474">
        <v>12</v>
      </c>
      <c r="E202" s="474">
        <v>110</v>
      </c>
      <c r="F202" s="470">
        <v>30</v>
      </c>
    </row>
    <row r="203" spans="1:6" x14ac:dyDescent="0.35">
      <c r="A203" s="16" t="s">
        <v>525</v>
      </c>
      <c r="B203" s="474">
        <v>32</v>
      </c>
      <c r="C203" s="474">
        <v>26</v>
      </c>
      <c r="D203" s="474">
        <v>13</v>
      </c>
      <c r="E203" s="474">
        <v>118</v>
      </c>
      <c r="F203" s="470">
        <v>30</v>
      </c>
    </row>
    <row r="204" spans="1:6" x14ac:dyDescent="0.35">
      <c r="A204" s="16" t="s">
        <v>526</v>
      </c>
      <c r="B204" s="474">
        <v>32</v>
      </c>
      <c r="C204" s="474">
        <v>26</v>
      </c>
      <c r="D204" s="474">
        <v>13</v>
      </c>
      <c r="E204" s="474">
        <v>94</v>
      </c>
      <c r="F204" s="470">
        <v>30</v>
      </c>
    </row>
    <row r="205" spans="1:6" x14ac:dyDescent="0.35">
      <c r="A205" s="16" t="s">
        <v>527</v>
      </c>
      <c r="B205" s="474">
        <v>37</v>
      </c>
      <c r="C205" s="474">
        <v>30</v>
      </c>
      <c r="D205" s="474">
        <v>15</v>
      </c>
      <c r="E205" s="474">
        <v>177</v>
      </c>
      <c r="F205" s="470">
        <v>30</v>
      </c>
    </row>
    <row r="206" spans="1:6" x14ac:dyDescent="0.35">
      <c r="A206" s="16" t="s">
        <v>528</v>
      </c>
      <c r="B206" s="474">
        <v>53</v>
      </c>
      <c r="C206" s="474">
        <v>42</v>
      </c>
      <c r="D206" s="474">
        <v>21</v>
      </c>
      <c r="E206" s="474">
        <v>163</v>
      </c>
      <c r="F206" s="470">
        <v>30</v>
      </c>
    </row>
    <row r="207" spans="1:6" x14ac:dyDescent="0.35">
      <c r="A207" s="16" t="s">
        <v>529</v>
      </c>
      <c r="B207" s="474">
        <v>29</v>
      </c>
      <c r="C207" s="474">
        <v>23</v>
      </c>
      <c r="D207" s="474">
        <v>12</v>
      </c>
      <c r="E207" s="474">
        <v>94</v>
      </c>
      <c r="F207" s="470">
        <v>30</v>
      </c>
    </row>
    <row r="208" spans="1:6" x14ac:dyDescent="0.35">
      <c r="A208" s="16" t="s">
        <v>530</v>
      </c>
      <c r="B208" s="474">
        <v>21</v>
      </c>
      <c r="C208" s="474">
        <v>17</v>
      </c>
      <c r="D208" s="474">
        <v>8</v>
      </c>
      <c r="E208" s="474">
        <v>120</v>
      </c>
      <c r="F208" s="470">
        <v>30</v>
      </c>
    </row>
    <row r="209" spans="1:6" x14ac:dyDescent="0.35">
      <c r="A209" s="16" t="s">
        <v>332</v>
      </c>
      <c r="B209" s="474">
        <v>24</v>
      </c>
      <c r="C209" s="474">
        <v>19</v>
      </c>
      <c r="D209" s="474">
        <v>10</v>
      </c>
      <c r="E209" s="474">
        <v>55</v>
      </c>
      <c r="F209" s="470">
        <v>30</v>
      </c>
    </row>
    <row r="210" spans="1:6" x14ac:dyDescent="0.35">
      <c r="A210" s="16" t="s">
        <v>531</v>
      </c>
      <c r="B210" s="474">
        <v>14</v>
      </c>
      <c r="C210" s="474">
        <v>11</v>
      </c>
      <c r="D210" s="474">
        <v>6</v>
      </c>
      <c r="E210" s="474">
        <v>95</v>
      </c>
      <c r="F210" s="470">
        <v>30</v>
      </c>
    </row>
    <row r="211" spans="1:6" x14ac:dyDescent="0.35">
      <c r="A211" s="16" t="s">
        <v>532</v>
      </c>
      <c r="B211" s="474">
        <v>33</v>
      </c>
      <c r="C211" s="474">
        <v>26</v>
      </c>
      <c r="D211" s="474">
        <v>13</v>
      </c>
      <c r="E211" s="474">
        <v>115</v>
      </c>
      <c r="F211" s="470">
        <v>30</v>
      </c>
    </row>
    <row r="212" spans="1:6" x14ac:dyDescent="0.35">
      <c r="A212" s="16" t="s">
        <v>533</v>
      </c>
      <c r="B212" s="474">
        <v>27</v>
      </c>
      <c r="C212" s="474">
        <v>22</v>
      </c>
      <c r="D212" s="474">
        <v>11</v>
      </c>
      <c r="E212" s="474">
        <v>108</v>
      </c>
      <c r="F212" s="470">
        <v>30</v>
      </c>
    </row>
    <row r="213" spans="1:6" x14ac:dyDescent="0.35">
      <c r="A213" s="16" t="s">
        <v>534</v>
      </c>
      <c r="B213" s="474">
        <v>34</v>
      </c>
      <c r="C213" s="474">
        <v>27</v>
      </c>
      <c r="D213" s="474">
        <v>14</v>
      </c>
      <c r="E213" s="474">
        <v>143</v>
      </c>
      <c r="F213" s="470">
        <v>30</v>
      </c>
    </row>
    <row r="214" spans="1:6" x14ac:dyDescent="0.35">
      <c r="A214" s="16" t="s">
        <v>535</v>
      </c>
      <c r="B214" s="474">
        <v>21</v>
      </c>
      <c r="C214" s="474">
        <v>17</v>
      </c>
      <c r="D214" s="474">
        <v>8</v>
      </c>
      <c r="E214" s="474">
        <v>98</v>
      </c>
      <c r="F214" s="470">
        <v>30</v>
      </c>
    </row>
    <row r="215" spans="1:6" x14ac:dyDescent="0.35">
      <c r="A215" s="16" t="s">
        <v>328</v>
      </c>
      <c r="B215" s="474">
        <v>18</v>
      </c>
      <c r="C215" s="474">
        <v>14</v>
      </c>
      <c r="D215" s="474">
        <v>7</v>
      </c>
      <c r="E215" s="474">
        <v>63</v>
      </c>
      <c r="F215" s="470">
        <v>30</v>
      </c>
    </row>
    <row r="216" spans="1:6" x14ac:dyDescent="0.35">
      <c r="A216" s="16" t="s">
        <v>536</v>
      </c>
      <c r="B216" s="474">
        <v>40</v>
      </c>
      <c r="C216" s="474">
        <v>32</v>
      </c>
      <c r="D216" s="474">
        <v>16</v>
      </c>
      <c r="E216" s="474">
        <v>90</v>
      </c>
      <c r="F216" s="470">
        <v>30</v>
      </c>
    </row>
    <row r="217" spans="1:6" x14ac:dyDescent="0.35">
      <c r="A217" s="16" t="s">
        <v>537</v>
      </c>
      <c r="B217" s="474">
        <v>28</v>
      </c>
      <c r="C217" s="474">
        <v>22</v>
      </c>
      <c r="D217" s="474">
        <v>11</v>
      </c>
      <c r="E217" s="474">
        <v>104</v>
      </c>
      <c r="F217" s="470">
        <v>30</v>
      </c>
    </row>
    <row r="218" spans="1:6" x14ac:dyDescent="0.35">
      <c r="A218" s="16" t="s">
        <v>538</v>
      </c>
      <c r="B218" s="474">
        <v>43</v>
      </c>
      <c r="C218" s="474">
        <v>34</v>
      </c>
      <c r="D218" s="474">
        <v>17</v>
      </c>
      <c r="E218" s="474">
        <v>160</v>
      </c>
      <c r="F218" s="470">
        <v>30</v>
      </c>
    </row>
    <row r="219" spans="1:6" x14ac:dyDescent="0.35">
      <c r="A219" s="16" t="s">
        <v>539</v>
      </c>
      <c r="B219" s="474">
        <v>37</v>
      </c>
      <c r="C219" s="474">
        <v>30</v>
      </c>
      <c r="D219" s="474">
        <v>15</v>
      </c>
      <c r="E219" s="474">
        <v>127</v>
      </c>
      <c r="F219" s="470">
        <v>30</v>
      </c>
    </row>
    <row r="220" spans="1:6" x14ac:dyDescent="0.35">
      <c r="A220" s="16" t="s">
        <v>540</v>
      </c>
      <c r="B220" s="474">
        <v>54</v>
      </c>
      <c r="C220" s="474">
        <v>43</v>
      </c>
      <c r="D220" s="474">
        <v>22</v>
      </c>
      <c r="E220" s="474">
        <v>156</v>
      </c>
      <c r="F220" s="470">
        <v>30</v>
      </c>
    </row>
    <row r="221" spans="1:6" x14ac:dyDescent="0.35">
      <c r="A221" s="16" t="s">
        <v>541</v>
      </c>
      <c r="B221" s="474">
        <v>51</v>
      </c>
      <c r="C221" s="474">
        <v>41</v>
      </c>
      <c r="D221" s="474">
        <v>20</v>
      </c>
      <c r="E221" s="474">
        <v>175</v>
      </c>
      <c r="F221" s="470">
        <v>30</v>
      </c>
    </row>
    <row r="222" spans="1:6" x14ac:dyDescent="0.35">
      <c r="A222" s="16" t="s">
        <v>542</v>
      </c>
      <c r="B222" s="474">
        <v>48</v>
      </c>
      <c r="C222" s="474">
        <v>38</v>
      </c>
      <c r="D222" s="474">
        <v>19</v>
      </c>
      <c r="E222" s="474">
        <v>265</v>
      </c>
      <c r="F222" s="470">
        <v>30</v>
      </c>
    </row>
    <row r="223" spans="1:6" x14ac:dyDescent="0.35">
      <c r="A223" s="16" t="s">
        <v>543</v>
      </c>
      <c r="B223" s="474">
        <v>45</v>
      </c>
      <c r="C223" s="474">
        <v>36</v>
      </c>
      <c r="D223" s="474">
        <v>18</v>
      </c>
      <c r="E223" s="474">
        <v>209</v>
      </c>
      <c r="F223" s="470">
        <v>30</v>
      </c>
    </row>
    <row r="224" spans="1:6" x14ac:dyDescent="0.35">
      <c r="A224" s="16" t="s">
        <v>544</v>
      </c>
      <c r="B224" s="474">
        <v>52</v>
      </c>
      <c r="C224" s="474">
        <v>42</v>
      </c>
      <c r="D224" s="474">
        <v>21</v>
      </c>
      <c r="E224" s="474">
        <v>138</v>
      </c>
      <c r="F224" s="470">
        <v>30</v>
      </c>
    </row>
    <row r="225" spans="1:6" x14ac:dyDescent="0.35">
      <c r="A225" s="16" t="s">
        <v>545</v>
      </c>
      <c r="B225" s="474">
        <v>46</v>
      </c>
      <c r="C225" s="474">
        <v>37</v>
      </c>
      <c r="D225" s="474">
        <v>18</v>
      </c>
      <c r="E225" s="474">
        <v>274</v>
      </c>
      <c r="F225" s="470">
        <v>30</v>
      </c>
    </row>
    <row r="226" spans="1:6" x14ac:dyDescent="0.35">
      <c r="A226" s="16" t="s">
        <v>546</v>
      </c>
      <c r="B226" s="474">
        <v>53</v>
      </c>
      <c r="C226" s="474">
        <v>42</v>
      </c>
      <c r="D226" s="474">
        <v>21</v>
      </c>
      <c r="E226" s="474">
        <v>151</v>
      </c>
      <c r="F226" s="470">
        <v>30</v>
      </c>
    </row>
    <row r="227" spans="1:6" x14ac:dyDescent="0.35">
      <c r="A227" s="16" t="s">
        <v>547</v>
      </c>
      <c r="B227" s="474">
        <v>48</v>
      </c>
      <c r="C227" s="474">
        <v>38</v>
      </c>
      <c r="D227" s="474">
        <v>19</v>
      </c>
      <c r="E227" s="474">
        <v>282</v>
      </c>
      <c r="F227" s="470">
        <v>30</v>
      </c>
    </row>
    <row r="228" spans="1:6" x14ac:dyDescent="0.35">
      <c r="A228" s="16" t="s">
        <v>333</v>
      </c>
      <c r="B228" s="474">
        <v>42</v>
      </c>
      <c r="C228" s="474">
        <v>34</v>
      </c>
      <c r="D228" s="474">
        <v>17</v>
      </c>
      <c r="E228" s="474">
        <v>314</v>
      </c>
      <c r="F228" s="470">
        <v>30</v>
      </c>
    </row>
    <row r="229" spans="1:6" x14ac:dyDescent="0.35">
      <c r="A229" s="16" t="s">
        <v>548</v>
      </c>
      <c r="B229" s="474">
        <v>51</v>
      </c>
      <c r="C229" s="474">
        <v>41</v>
      </c>
      <c r="D229" s="474">
        <v>20</v>
      </c>
      <c r="E229" s="474">
        <v>276</v>
      </c>
      <c r="F229" s="470">
        <v>30</v>
      </c>
    </row>
    <row r="230" spans="1:6" x14ac:dyDescent="0.35">
      <c r="A230" s="16" t="s">
        <v>549</v>
      </c>
      <c r="B230" s="474">
        <v>42</v>
      </c>
      <c r="C230" s="474">
        <v>34</v>
      </c>
      <c r="D230" s="474">
        <v>17</v>
      </c>
      <c r="E230" s="474">
        <v>138</v>
      </c>
      <c r="F230" s="470">
        <v>30</v>
      </c>
    </row>
    <row r="231" spans="1:6" x14ac:dyDescent="0.35">
      <c r="A231" s="16" t="s">
        <v>550</v>
      </c>
      <c r="B231" s="474">
        <v>51</v>
      </c>
      <c r="C231" s="474">
        <v>41</v>
      </c>
      <c r="D231" s="474">
        <v>20</v>
      </c>
      <c r="E231" s="474">
        <v>224</v>
      </c>
      <c r="F231" s="470">
        <v>30</v>
      </c>
    </row>
    <row r="232" spans="1:6" x14ac:dyDescent="0.35">
      <c r="A232" s="16" t="s">
        <v>551</v>
      </c>
      <c r="B232" s="474">
        <v>37</v>
      </c>
      <c r="C232" s="474">
        <v>30</v>
      </c>
      <c r="D232" s="474">
        <v>15</v>
      </c>
      <c r="E232" s="474">
        <v>115</v>
      </c>
      <c r="F232" s="470">
        <v>30</v>
      </c>
    </row>
    <row r="233" spans="1:6" x14ac:dyDescent="0.35">
      <c r="A233" s="16" t="s">
        <v>552</v>
      </c>
      <c r="B233" s="474">
        <v>34</v>
      </c>
      <c r="C233" s="474">
        <v>27</v>
      </c>
      <c r="D233" s="474">
        <v>14</v>
      </c>
      <c r="E233" s="474">
        <v>86</v>
      </c>
      <c r="F233" s="470">
        <v>30</v>
      </c>
    </row>
    <row r="234" spans="1:6" x14ac:dyDescent="0.35">
      <c r="A234" s="16" t="s">
        <v>331</v>
      </c>
      <c r="B234" s="474">
        <v>16</v>
      </c>
      <c r="C234" s="474">
        <v>13</v>
      </c>
      <c r="D234" s="474">
        <v>6</v>
      </c>
      <c r="E234" s="474">
        <v>98</v>
      </c>
      <c r="F234" s="470">
        <v>30</v>
      </c>
    </row>
    <row r="235" spans="1:6" x14ac:dyDescent="0.35">
      <c r="A235" s="16" t="s">
        <v>553</v>
      </c>
      <c r="B235" s="474">
        <v>38</v>
      </c>
      <c r="C235" s="474">
        <v>30</v>
      </c>
      <c r="D235" s="474">
        <v>15</v>
      </c>
      <c r="E235" s="474">
        <v>74</v>
      </c>
      <c r="F235" s="470">
        <v>30</v>
      </c>
    </row>
    <row r="236" spans="1:6" ht="15" thickBot="1" x14ac:dyDescent="0.4">
      <c r="A236" s="17" t="s">
        <v>554</v>
      </c>
      <c r="B236" s="475">
        <v>37</v>
      </c>
      <c r="C236" s="475">
        <v>30</v>
      </c>
      <c r="D236" s="475">
        <v>15</v>
      </c>
      <c r="E236" s="475">
        <v>116</v>
      </c>
      <c r="F236" s="476">
        <v>30</v>
      </c>
    </row>
  </sheetData>
  <sheetProtection sheet="1" objects="1" scenarios="1"/>
  <dataConsolidate/>
  <mergeCells count="3">
    <mergeCell ref="B5:D5"/>
    <mergeCell ref="E5:F5"/>
    <mergeCell ref="R5:T5"/>
  </mergeCells>
  <conditionalFormatting sqref="B10:B23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0:C23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0:D23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0:E23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6"/>
  <sheetViews>
    <sheetView workbookViewId="0">
      <selection activeCell="D10" sqref="D10"/>
    </sheetView>
  </sheetViews>
  <sheetFormatPr baseColWidth="10" defaultRowHeight="14.5" x14ac:dyDescent="0.35"/>
  <cols>
    <col min="1" max="1" width="4.453125" customWidth="1"/>
    <col min="3" max="3" width="34.7265625" customWidth="1"/>
    <col min="8" max="8" width="12.1796875" customWidth="1"/>
    <col min="9" max="9" width="35.7265625" customWidth="1"/>
    <col min="19" max="19" width="36" bestFit="1" customWidth="1"/>
  </cols>
  <sheetData>
    <row r="1" spans="2:17" ht="21" x14ac:dyDescent="0.5">
      <c r="B1" s="45"/>
      <c r="C1" s="2" t="s">
        <v>63</v>
      </c>
      <c r="F1" s="1"/>
    </row>
    <row r="2" spans="2:17" ht="21.5" thickBot="1" x14ac:dyDescent="0.55000000000000004">
      <c r="B2" s="45"/>
      <c r="C2" s="2"/>
      <c r="F2" s="1"/>
    </row>
    <row r="3" spans="2:17" ht="21.5" thickBot="1" x14ac:dyDescent="0.55000000000000004">
      <c r="C3" s="48" t="s">
        <v>39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2:17" ht="15" thickBot="1" x14ac:dyDescent="0.4">
      <c r="C4" s="174" t="s">
        <v>49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6" spans="2:17" ht="23.5" x14ac:dyDescent="0.55000000000000004">
      <c r="C6" s="35" t="s">
        <v>32</v>
      </c>
      <c r="E6" s="854" t="s">
        <v>683</v>
      </c>
      <c r="I6" s="35" t="s">
        <v>32</v>
      </c>
      <c r="K6" s="854" t="s">
        <v>682</v>
      </c>
    </row>
    <row r="7" spans="2:17" ht="15" thickBot="1" x14ac:dyDescent="0.4"/>
    <row r="8" spans="2:17" ht="15" thickBot="1" x14ac:dyDescent="0.4">
      <c r="C8" s="1" t="s">
        <v>19</v>
      </c>
      <c r="D8" s="177">
        <v>11</v>
      </c>
      <c r="E8" t="s">
        <v>41</v>
      </c>
      <c r="I8" s="1" t="s">
        <v>19</v>
      </c>
      <c r="J8" s="177">
        <v>15</v>
      </c>
      <c r="K8" t="s">
        <v>41</v>
      </c>
    </row>
    <row r="10" spans="2:17" x14ac:dyDescent="0.35">
      <c r="C10" s="1" t="s">
        <v>20</v>
      </c>
      <c r="I10" s="1" t="s">
        <v>20</v>
      </c>
    </row>
    <row r="11" spans="2:17" ht="14.5" customHeight="1" x14ac:dyDescent="0.35">
      <c r="D11" s="7" t="s">
        <v>21</v>
      </c>
      <c r="E11" s="7" t="s">
        <v>22</v>
      </c>
      <c r="F11" s="7" t="s">
        <v>23</v>
      </c>
      <c r="G11" s="7" t="s">
        <v>24</v>
      </c>
      <c r="J11" s="7" t="s">
        <v>21</v>
      </c>
      <c r="K11" s="7" t="s">
        <v>22</v>
      </c>
      <c r="L11" s="7" t="s">
        <v>23</v>
      </c>
      <c r="M11" s="7" t="s">
        <v>24</v>
      </c>
      <c r="O11" s="937" t="s">
        <v>162</v>
      </c>
      <c r="P11" s="937"/>
      <c r="Q11" s="64"/>
    </row>
    <row r="12" spans="2:17" x14ac:dyDescent="0.35">
      <c r="C12" s="27" t="s">
        <v>25</v>
      </c>
      <c r="D12" s="6">
        <v>1</v>
      </c>
      <c r="E12" s="6">
        <f>D8</f>
        <v>11</v>
      </c>
      <c r="F12" s="31">
        <f>E12*'Infos FoFö'!C49</f>
        <v>47.827999999999996</v>
      </c>
      <c r="G12" s="31">
        <f>F12*12</f>
        <v>573.93599999999992</v>
      </c>
      <c r="I12" s="27" t="s">
        <v>25</v>
      </c>
      <c r="J12" s="6">
        <v>1</v>
      </c>
      <c r="K12" s="6">
        <f>J8</f>
        <v>15</v>
      </c>
      <c r="L12" s="31">
        <f>K12*'Infos FoFö'!C49</f>
        <v>65.22</v>
      </c>
      <c r="M12" s="31">
        <f>L12*12</f>
        <v>782.64</v>
      </c>
      <c r="O12" s="937"/>
      <c r="P12" s="937"/>
      <c r="Q12" s="64"/>
    </row>
    <row r="13" spans="2:17" x14ac:dyDescent="0.35">
      <c r="C13" s="28" t="s">
        <v>34</v>
      </c>
      <c r="D13" s="30">
        <f>'Infos FoFö'!D41</f>
        <v>12</v>
      </c>
      <c r="E13" s="30">
        <f>D13*D8</f>
        <v>132</v>
      </c>
      <c r="F13" s="30">
        <f>'Infos FoFö'!C49*E13</f>
        <v>573.93600000000004</v>
      </c>
      <c r="G13" s="30">
        <f>F13*12</f>
        <v>6887.232</v>
      </c>
      <c r="I13" s="28" t="s">
        <v>34</v>
      </c>
      <c r="J13" s="30">
        <f>'Infos FoFö'!D40</f>
        <v>10.79</v>
      </c>
      <c r="K13" s="30">
        <f>J13*J8</f>
        <v>161.85</v>
      </c>
      <c r="L13" s="30">
        <f>'Infos FoFö'!C49*K13</f>
        <v>703.72379999999998</v>
      </c>
      <c r="M13" s="30">
        <f>L13*12</f>
        <v>8444.6856000000007</v>
      </c>
      <c r="O13" s="937"/>
      <c r="P13" s="937"/>
      <c r="Q13" s="64"/>
    </row>
    <row r="14" spans="2:17" x14ac:dyDescent="0.35">
      <c r="C14" s="28" t="s">
        <v>35</v>
      </c>
      <c r="D14" s="59">
        <f>IF(F13&gt;='Infos FoFö'!$C$44,'Infos FoFö'!$C$42,'Infos FoFö'!$C$43)</f>
        <v>9.9500000000000005E-2</v>
      </c>
      <c r="E14" s="59">
        <f>D14</f>
        <v>9.9500000000000005E-2</v>
      </c>
      <c r="F14" s="59">
        <f t="shared" ref="F14:G14" si="0">E14</f>
        <v>9.9500000000000005E-2</v>
      </c>
      <c r="G14" s="59">
        <f t="shared" si="0"/>
        <v>9.9500000000000005E-2</v>
      </c>
      <c r="I14" s="28" t="s">
        <v>35</v>
      </c>
      <c r="J14" s="59">
        <f>IF(L13&gt;='Infos FoFö'!$C$44,'Infos FoFö'!$C$42,'Infos FoFö'!$C$43)</f>
        <v>9.9500000000000005E-2</v>
      </c>
      <c r="K14" s="59">
        <f>J14</f>
        <v>9.9500000000000005E-2</v>
      </c>
      <c r="L14" s="59">
        <f t="shared" ref="L14" si="1">K14</f>
        <v>9.9500000000000005E-2</v>
      </c>
      <c r="M14" s="59">
        <f t="shared" ref="M14" si="2">L14</f>
        <v>9.9500000000000005E-2</v>
      </c>
      <c r="O14" s="937"/>
      <c r="P14" s="937"/>
      <c r="Q14" s="64"/>
    </row>
    <row r="15" spans="2:17" ht="15" thickBot="1" x14ac:dyDescent="0.4">
      <c r="C15" s="29" t="s">
        <v>36</v>
      </c>
      <c r="D15" s="32">
        <f>D13*D14</f>
        <v>1.194</v>
      </c>
      <c r="E15" s="32">
        <f>E13*E14</f>
        <v>13.134</v>
      </c>
      <c r="F15" s="32">
        <f>F13*F14</f>
        <v>57.106632000000005</v>
      </c>
      <c r="G15" s="32">
        <f>G13*G14</f>
        <v>685.279584</v>
      </c>
      <c r="I15" s="29" t="s">
        <v>36</v>
      </c>
      <c r="J15" s="32">
        <f>J13*J14</f>
        <v>1.0736049999999999</v>
      </c>
      <c r="K15" s="32">
        <f>K13*K14</f>
        <v>16.104075000000002</v>
      </c>
      <c r="L15" s="32">
        <f>L13*L14</f>
        <v>70.020518100000004</v>
      </c>
      <c r="M15" s="32">
        <f>M13*M14</f>
        <v>840.24621720000016</v>
      </c>
      <c r="O15" s="937"/>
      <c r="P15" s="937"/>
    </row>
    <row r="16" spans="2:17" ht="15" thickBot="1" x14ac:dyDescent="0.4">
      <c r="C16" s="178" t="s">
        <v>37</v>
      </c>
      <c r="D16" s="179">
        <f>D13+D15</f>
        <v>13.193999999999999</v>
      </c>
      <c r="E16" s="179">
        <f>E13+E15</f>
        <v>145.13400000000001</v>
      </c>
      <c r="F16" s="179">
        <f>F13+F15</f>
        <v>631.04263200000003</v>
      </c>
      <c r="G16" s="180">
        <f>G13+G15</f>
        <v>7572.5115839999999</v>
      </c>
      <c r="I16" s="178" t="s">
        <v>37</v>
      </c>
      <c r="J16" s="179">
        <f>J13+J15</f>
        <v>11.863605</v>
      </c>
      <c r="K16" s="179">
        <f>K13+K15</f>
        <v>177.95407499999999</v>
      </c>
      <c r="L16" s="179">
        <f>L13+L15</f>
        <v>773.74431809999999</v>
      </c>
      <c r="M16" s="180">
        <f>M13+M15</f>
        <v>9284.9318172000003</v>
      </c>
      <c r="O16" s="937"/>
      <c r="P16" s="937"/>
    </row>
    <row r="18" spans="3:23" x14ac:dyDescent="0.35">
      <c r="C18" t="s">
        <v>38</v>
      </c>
      <c r="I18" t="s">
        <v>38</v>
      </c>
    </row>
    <row r="19" spans="3:23" ht="27.65" customHeight="1" x14ac:dyDescent="0.35">
      <c r="C19" s="935" t="str">
        <f>IF(F13&gt;='SHK u. WHK'!C48,CONCATENATE("Achtung! Wenn SHK-AN-Monatslohn über der Minijob-Grenze liegt, beträgt der Sozialabgabensatz ", 'SHK u. WHK'!$C$46*100, " %. KV und RV muss Stud. selbst aufwenden."),"Keine ")</f>
        <v>Achtung! Wenn SHK-AN-Monatslohn über der Minijob-Grenze liegt, beträgt der Sozialabgabensatz 0 %. KV und RV muss Stud. selbst aufwenden.</v>
      </c>
      <c r="D19" s="935"/>
      <c r="E19" s="935"/>
      <c r="F19" s="935"/>
      <c r="G19" s="935"/>
      <c r="I19" s="935" t="str">
        <f>IF(L13&gt;='SHK u. WHK'!I48,CONCATENATE("Achtung! Wenn SHK-AN-Monatslohn über der Minijob-Grenze liegt, beträgt der Sozialabgabensatz ", 'SHK u. WHK'!$C$46*100, " %. KV und RV muss Stud. selbst aufwenden."),"Keine ")</f>
        <v>Achtung! Wenn SHK-AN-Monatslohn über der Minijob-Grenze liegt, beträgt der Sozialabgabensatz 0 %. KV und RV muss Stud. selbst aufwenden.</v>
      </c>
      <c r="J19" s="935"/>
      <c r="K19" s="935"/>
      <c r="L19" s="935"/>
      <c r="M19" s="935"/>
    </row>
    <row r="20" spans="3:23" x14ac:dyDescent="0.35">
      <c r="S20" s="936"/>
      <c r="T20" s="936"/>
      <c r="U20" s="936"/>
      <c r="V20" s="936"/>
      <c r="W20" s="936"/>
    </row>
    <row r="21" spans="3:23" ht="23.5" x14ac:dyDescent="0.55000000000000004">
      <c r="C21" s="35" t="s">
        <v>33</v>
      </c>
      <c r="E21" s="854" t="s">
        <v>683</v>
      </c>
      <c r="F21" s="856"/>
      <c r="I21" s="35" t="s">
        <v>33</v>
      </c>
      <c r="K21" s="854" t="s">
        <v>682</v>
      </c>
    </row>
    <row r="22" spans="3:23" ht="15" thickBot="1" x14ac:dyDescent="0.4"/>
    <row r="23" spans="3:23" ht="15" thickBot="1" x14ac:dyDescent="0.4">
      <c r="C23" s="1" t="s">
        <v>19</v>
      </c>
      <c r="D23" s="177">
        <v>15</v>
      </c>
      <c r="E23" t="s">
        <v>42</v>
      </c>
      <c r="I23" s="1" t="s">
        <v>19</v>
      </c>
      <c r="J23" s="177">
        <v>15</v>
      </c>
      <c r="K23" t="s">
        <v>42</v>
      </c>
    </row>
    <row r="25" spans="3:23" x14ac:dyDescent="0.35">
      <c r="C25" s="1" t="s">
        <v>20</v>
      </c>
      <c r="I25" s="1" t="s">
        <v>20</v>
      </c>
    </row>
    <row r="26" spans="3:23" x14ac:dyDescent="0.35">
      <c r="D26" s="7" t="s">
        <v>21</v>
      </c>
      <c r="E26" s="7" t="s">
        <v>22</v>
      </c>
      <c r="F26" s="7" t="s">
        <v>23</v>
      </c>
      <c r="G26" s="7" t="s">
        <v>24</v>
      </c>
      <c r="J26" s="7" t="s">
        <v>21</v>
      </c>
      <c r="K26" s="7" t="s">
        <v>22</v>
      </c>
      <c r="L26" s="7" t="s">
        <v>23</v>
      </c>
      <c r="M26" s="7" t="s">
        <v>24</v>
      </c>
    </row>
    <row r="27" spans="3:23" x14ac:dyDescent="0.35">
      <c r="C27" s="6" t="s">
        <v>25</v>
      </c>
      <c r="D27" s="6">
        <v>1</v>
      </c>
      <c r="E27" s="6">
        <f>D23</f>
        <v>15</v>
      </c>
      <c r="F27" s="6">
        <f>E27*'Infos FoFö'!C49</f>
        <v>65.22</v>
      </c>
      <c r="G27" s="6">
        <f>F27*12</f>
        <v>782.64</v>
      </c>
      <c r="I27" s="6" t="s">
        <v>25</v>
      </c>
      <c r="J27" s="6">
        <v>1</v>
      </c>
      <c r="K27" s="6">
        <f>J23</f>
        <v>15</v>
      </c>
      <c r="L27" s="6">
        <f>K27*'Infos FoFö'!C49</f>
        <v>65.22</v>
      </c>
      <c r="M27" s="6">
        <f>L27*12</f>
        <v>782.64</v>
      </c>
    </row>
    <row r="28" spans="3:23" x14ac:dyDescent="0.35">
      <c r="C28" s="6" t="s">
        <v>34</v>
      </c>
      <c r="D28" s="30">
        <f>'Infos FoFö'!C41</f>
        <v>15</v>
      </c>
      <c r="E28" s="30">
        <f>D28*D23</f>
        <v>225</v>
      </c>
      <c r="F28" s="30">
        <f>'Infos FoFö'!C49*E28</f>
        <v>978.3</v>
      </c>
      <c r="G28" s="30">
        <f>F28*12</f>
        <v>11739.599999999999</v>
      </c>
      <c r="I28" s="6" t="s">
        <v>34</v>
      </c>
      <c r="J28" s="30">
        <f>'Infos FoFö'!C40</f>
        <v>13.5</v>
      </c>
      <c r="K28" s="30">
        <f>J28*J23</f>
        <v>202.5</v>
      </c>
      <c r="L28" s="30">
        <f>'Infos FoFö'!C49*K28</f>
        <v>880.47</v>
      </c>
      <c r="M28" s="30">
        <f>L28*12</f>
        <v>10565.64</v>
      </c>
    </row>
    <row r="29" spans="3:23" x14ac:dyDescent="0.35">
      <c r="C29" s="6" t="s">
        <v>35</v>
      </c>
      <c r="D29" s="59">
        <f>IF(F28&gt;='Infos FoFö'!$C$44,'Infos FoFö'!$C$42,'Infos FoFö'!$C$43)</f>
        <v>9.9500000000000005E-2</v>
      </c>
      <c r="E29" s="59">
        <f>D29</f>
        <v>9.9500000000000005E-2</v>
      </c>
      <c r="F29" s="59">
        <f t="shared" ref="F29:G29" si="3">E29</f>
        <v>9.9500000000000005E-2</v>
      </c>
      <c r="G29" s="59">
        <f t="shared" si="3"/>
        <v>9.9500000000000005E-2</v>
      </c>
      <c r="I29" s="6" t="s">
        <v>35</v>
      </c>
      <c r="J29" s="59">
        <f>IF(L28&gt;='Infos FoFö'!$C$44,'Infos FoFö'!$C$42,'Infos FoFö'!$C$43)</f>
        <v>9.9500000000000005E-2</v>
      </c>
      <c r="K29" s="59">
        <f>J29</f>
        <v>9.9500000000000005E-2</v>
      </c>
      <c r="L29" s="59">
        <f t="shared" ref="L29" si="4">K29</f>
        <v>9.9500000000000005E-2</v>
      </c>
      <c r="M29" s="59">
        <f t="shared" ref="M29" si="5">L29</f>
        <v>9.9500000000000005E-2</v>
      </c>
    </row>
    <row r="30" spans="3:23" ht="15" thickBot="1" x14ac:dyDescent="0.4">
      <c r="C30" s="33" t="s">
        <v>36</v>
      </c>
      <c r="D30" s="34">
        <f>D28*D29</f>
        <v>1.4925000000000002</v>
      </c>
      <c r="E30" s="34">
        <f>E28*E29</f>
        <v>22.387500000000003</v>
      </c>
      <c r="F30" s="34">
        <f>F28*F29</f>
        <v>97.340850000000003</v>
      </c>
      <c r="G30" s="34">
        <f>G28*G29</f>
        <v>1168.0901999999999</v>
      </c>
      <c r="I30" s="33" t="s">
        <v>36</v>
      </c>
      <c r="J30" s="34">
        <f>J28*J29</f>
        <v>1.3432500000000001</v>
      </c>
      <c r="K30" s="34">
        <f>K28*K29</f>
        <v>20.14875</v>
      </c>
      <c r="L30" s="34">
        <f>L28*L29</f>
        <v>87.60676500000001</v>
      </c>
      <c r="M30" s="34">
        <f>M28*M29</f>
        <v>1051.2811799999999</v>
      </c>
    </row>
    <row r="31" spans="3:23" ht="15" thickBot="1" x14ac:dyDescent="0.4">
      <c r="C31" s="181" t="s">
        <v>37</v>
      </c>
      <c r="D31" s="179">
        <f>D28+D30</f>
        <v>16.4925</v>
      </c>
      <c r="E31" s="179">
        <f>E28+E30</f>
        <v>247.38749999999999</v>
      </c>
      <c r="F31" s="179">
        <f>F28+F30</f>
        <v>1075.64085</v>
      </c>
      <c r="G31" s="180">
        <f>G28+G30</f>
        <v>12907.690199999999</v>
      </c>
      <c r="I31" s="181" t="s">
        <v>37</v>
      </c>
      <c r="J31" s="179">
        <f>J28+J30</f>
        <v>14.843249999999999</v>
      </c>
      <c r="K31" s="179">
        <f>K28+K30</f>
        <v>222.64875000000001</v>
      </c>
      <c r="L31" s="179">
        <f>L28+L30</f>
        <v>968.07676500000002</v>
      </c>
      <c r="M31" s="180">
        <f>M28+M30</f>
        <v>11616.921179999999</v>
      </c>
    </row>
    <row r="34" spans="3:13" x14ac:dyDescent="0.35">
      <c r="C34" t="s">
        <v>38</v>
      </c>
      <c r="I34" t="s">
        <v>38</v>
      </c>
    </row>
    <row r="35" spans="3:13" ht="15" customHeight="1" x14ac:dyDescent="0.35">
      <c r="C35" s="935" t="s">
        <v>684</v>
      </c>
      <c r="D35" s="935"/>
      <c r="E35" s="935"/>
      <c r="F35" s="935"/>
      <c r="G35" s="935"/>
      <c r="I35" s="935" t="s">
        <v>684</v>
      </c>
      <c r="J35" s="935"/>
      <c r="K35" s="935"/>
      <c r="L35" s="935"/>
      <c r="M35" s="935"/>
    </row>
    <row r="36" spans="3:13" x14ac:dyDescent="0.35">
      <c r="C36" s="935"/>
      <c r="D36" s="935"/>
      <c r="E36" s="935"/>
      <c r="F36" s="935"/>
      <c r="G36" s="935"/>
      <c r="I36" s="935"/>
      <c r="J36" s="935"/>
      <c r="K36" s="935"/>
      <c r="L36" s="935"/>
      <c r="M36" s="935"/>
    </row>
  </sheetData>
  <sheetProtection sheet="1" objects="1" scenarios="1"/>
  <mergeCells count="6">
    <mergeCell ref="C19:G19"/>
    <mergeCell ref="C35:G36"/>
    <mergeCell ref="S20:W20"/>
    <mergeCell ref="O11:P16"/>
    <mergeCell ref="I19:M19"/>
    <mergeCell ref="I35:M3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07"/>
  <sheetViews>
    <sheetView topLeftCell="A4" zoomScaleNormal="100" workbookViewId="0">
      <selection activeCell="K16" sqref="K16"/>
    </sheetView>
  </sheetViews>
  <sheetFormatPr baseColWidth="10" defaultRowHeight="14.5" x14ac:dyDescent="0.35"/>
  <cols>
    <col min="1" max="2" width="1.7265625" customWidth="1"/>
    <col min="3" max="3" width="13.54296875" customWidth="1"/>
    <col min="4" max="4" width="11.7265625" bestFit="1" customWidth="1"/>
    <col min="5" max="5" width="12.7265625" customWidth="1"/>
    <col min="6" max="6" width="13.26953125" customWidth="1"/>
    <col min="7" max="14" width="12.26953125" customWidth="1"/>
    <col min="15" max="15" width="15.453125" customWidth="1"/>
    <col min="16" max="16" width="12" customWidth="1"/>
    <col min="17" max="17" width="5.26953125" customWidth="1"/>
    <col min="18" max="18" width="8.1796875" customWidth="1"/>
    <col min="19" max="19" width="1.453125" customWidth="1"/>
    <col min="20" max="20" width="1.81640625" customWidth="1"/>
    <col min="21" max="21" width="12.7265625" bestFit="1" customWidth="1"/>
  </cols>
  <sheetData>
    <row r="1" spans="2:34" ht="6" customHeight="1" thickBot="1" x14ac:dyDescent="0.4"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</row>
    <row r="2" spans="2:34" ht="6" customHeight="1" thickTop="1" x14ac:dyDescent="0.35">
      <c r="B2" s="301"/>
      <c r="C2" s="302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</row>
    <row r="3" spans="2:34" x14ac:dyDescent="0.35">
      <c r="B3" s="303"/>
      <c r="C3" s="304" t="s">
        <v>220</v>
      </c>
      <c r="D3" s="967" t="s">
        <v>204</v>
      </c>
      <c r="E3" s="968"/>
      <c r="F3" s="971" t="str">
        <f>IF(D3="voraussichtliche Kosten", "i.d.R. Stufe 3 anwenden", "i.d.R. Stufe 2 anwenden")</f>
        <v>i.d.R. Stufe 2 anwenden</v>
      </c>
      <c r="G3" s="972"/>
      <c r="I3" s="290" t="s">
        <v>203</v>
      </c>
      <c r="J3" s="292" t="s">
        <v>202</v>
      </c>
      <c r="K3" s="334" t="s">
        <v>213</v>
      </c>
      <c r="L3" s="334"/>
      <c r="M3" s="334"/>
      <c r="N3" s="938" t="s">
        <v>288</v>
      </c>
      <c r="O3" s="938"/>
      <c r="P3" s="444"/>
      <c r="Q3" s="4"/>
      <c r="R3" s="4"/>
      <c r="S3" s="206"/>
      <c r="U3" s="331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</row>
    <row r="4" spans="2:34" x14ac:dyDescent="0.35">
      <c r="B4" s="303"/>
      <c r="C4" s="305"/>
      <c r="F4" s="4"/>
      <c r="G4" s="4"/>
      <c r="I4" s="293" t="s">
        <v>224</v>
      </c>
      <c r="J4" s="294"/>
      <c r="K4" s="294"/>
      <c r="L4" s="294"/>
      <c r="M4" s="294"/>
      <c r="N4" s="433"/>
      <c r="O4" s="4"/>
      <c r="P4" s="3"/>
      <c r="Q4" s="4"/>
      <c r="R4" s="4"/>
      <c r="S4" s="206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</row>
    <row r="5" spans="2:34" x14ac:dyDescent="0.35">
      <c r="B5" s="303"/>
      <c r="C5" s="306" t="s">
        <v>200</v>
      </c>
      <c r="D5" s="313">
        <v>36</v>
      </c>
      <c r="E5" s="4" t="s">
        <v>199</v>
      </c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4"/>
      <c r="R5" s="4"/>
      <c r="S5" s="206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</row>
    <row r="6" spans="2:34" ht="7.15" customHeight="1" x14ac:dyDescent="0.35">
      <c r="B6" s="303"/>
      <c r="C6" s="30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4"/>
      <c r="R6" s="4"/>
      <c r="S6" s="206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</row>
    <row r="7" spans="2:34" ht="15" thickBot="1" x14ac:dyDescent="0.4">
      <c r="B7" s="303"/>
      <c r="C7" s="306" t="s">
        <v>198</v>
      </c>
      <c r="D7" s="314">
        <v>44927</v>
      </c>
      <c r="E7" s="1" t="s">
        <v>586</v>
      </c>
      <c r="F7" s="564">
        <f>EDATE(D7,D5)-1</f>
        <v>46022</v>
      </c>
      <c r="G7" s="4"/>
      <c r="H7" s="565">
        <v>44927</v>
      </c>
      <c r="I7" s="565">
        <v>45292</v>
      </c>
      <c r="J7" s="565">
        <v>45658</v>
      </c>
      <c r="K7" s="565">
        <v>46023</v>
      </c>
      <c r="L7" s="565">
        <v>46388</v>
      </c>
      <c r="M7" s="565">
        <v>46753</v>
      </c>
      <c r="N7" s="565">
        <v>47119</v>
      </c>
      <c r="O7" s="4"/>
      <c r="P7" s="3"/>
      <c r="Q7" s="4"/>
      <c r="R7" s="4"/>
      <c r="S7" s="206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</row>
    <row r="8" spans="2:34" x14ac:dyDescent="0.35">
      <c r="B8" s="303"/>
      <c r="C8" s="307"/>
      <c r="D8" s="4"/>
      <c r="E8" s="4"/>
      <c r="F8" s="4"/>
      <c r="G8" s="975">
        <v>2022</v>
      </c>
      <c r="H8" s="973"/>
      <c r="I8" s="245">
        <v>2023</v>
      </c>
      <c r="J8" s="245">
        <v>2024</v>
      </c>
      <c r="K8" s="245">
        <v>2025</v>
      </c>
      <c r="L8" s="245">
        <v>2026</v>
      </c>
      <c r="M8" s="245">
        <v>2027</v>
      </c>
      <c r="N8" s="245">
        <v>2028</v>
      </c>
      <c r="O8" s="245" t="s">
        <v>194</v>
      </c>
      <c r="P8" s="437"/>
      <c r="Q8" s="973" t="s">
        <v>209</v>
      </c>
      <c r="R8" s="974"/>
      <c r="S8" s="206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</row>
    <row r="9" spans="2:34" x14ac:dyDescent="0.35">
      <c r="B9" s="303"/>
      <c r="C9" s="306" t="s">
        <v>229</v>
      </c>
      <c r="D9" s="4"/>
      <c r="E9" s="4"/>
      <c r="F9" s="4"/>
      <c r="G9" s="954">
        <f>IF(YEAR($D$7)&gt;$G$8,0,IF(YEAR($F$7)=$G$8,$D$5,DATEDIF($D$7,$H$7,"m")))</f>
        <v>0</v>
      </c>
      <c r="H9" s="955"/>
      <c r="I9" s="223">
        <f>IF(YEAR($D$7)&gt;$I$8,0,IF(YEAR($D$7)=$I$8,IF(YEAR($F$7)=$I$8,$D$5,DATEDIF($D$7,$I$7,"m")),IF($D$5-SUM($G$9)&lt;=12,$D$5-SUM($G$9),12)))</f>
        <v>12</v>
      </c>
      <c r="J9" s="223">
        <f>IF(YEAR($D$7)&gt;$J$8,0,IF(YEAR($D$7)=$J$8,IF(YEAR($F$7)=$J$8,$D$5,DATEDIF($D$7,$J$7,"m")),IF($D$5-SUM($G$9:$I$9)&lt;=12,$D$5-SUM($G$9:$I$9),12)))</f>
        <v>12</v>
      </c>
      <c r="K9" s="223">
        <f>IF(YEAR($D$7)&gt;$K$8,0,IF(YEAR($D$7)=$K$8,IF(YEAR($F$7)=$K$8,$D$5,DATEDIF($D$7,$K$7,"m")),IF($D$5-SUM($G$9:$J$9)&lt;=12,$D$5-SUM($G$9:$J$9),12)))</f>
        <v>12</v>
      </c>
      <c r="L9" s="223">
        <f>IF(YEAR($D$7)&gt;$L$8,0,IF(YEAR($D$7)=$L$8,IF(YEAR($F$7)=$L$8,$D$5,DATEDIF($D$7,$L$7,"m")),IF($D$5-SUM($G$9:$K$9)&lt;=12,$D$5-SUM($G$9:$K$9),12)))</f>
        <v>0</v>
      </c>
      <c r="M9" s="223">
        <f>IF(YEAR($D$7)&gt;$M$8,0,IF(YEAR($D$7)=$M$8,IF(YEAR($F$7)=$M$8,$D$5,DATEDIF($D$7,$M$7,"m")),IF($D$5-SUM($G$9:$L$9)&lt;=12,$D$5-SUM($G$9:$L$9),12)))</f>
        <v>0</v>
      </c>
      <c r="N9" s="223">
        <f>IF(YEAR($D$7)&gt;$N$8,0,IF(YEAR($D$7)=$N$8,IF(YEAR($F$7)=$N$8,$D$5,DATEDIF($D$7,$N$7,"m")),IF($D$5-SUM($G$9:$M$9)&lt;=12,$D$5-SUM($G$9:$M$9),12)))</f>
        <v>0</v>
      </c>
      <c r="O9" s="4"/>
      <c r="P9" s="3"/>
      <c r="Q9" s="4"/>
      <c r="R9" s="54"/>
      <c r="S9" s="206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</row>
    <row r="10" spans="2:34" ht="12" customHeight="1" x14ac:dyDescent="0.35">
      <c r="B10" s="303"/>
      <c r="C10" s="307"/>
      <c r="D10" s="4"/>
      <c r="E10" s="4"/>
      <c r="F10" s="255" t="s">
        <v>232</v>
      </c>
      <c r="G10" s="256">
        <v>12</v>
      </c>
      <c r="H10" s="257">
        <v>13</v>
      </c>
      <c r="I10" s="257">
        <v>13</v>
      </c>
      <c r="J10" s="257">
        <v>14</v>
      </c>
      <c r="K10" s="257">
        <v>15</v>
      </c>
      <c r="L10" s="257">
        <v>16</v>
      </c>
      <c r="M10" s="257">
        <v>17</v>
      </c>
      <c r="N10" s="257">
        <v>18</v>
      </c>
      <c r="O10" s="4"/>
      <c r="P10" s="3"/>
      <c r="Q10" s="4"/>
      <c r="R10" s="54"/>
      <c r="S10" s="206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</row>
    <row r="11" spans="2:34" ht="12" customHeight="1" thickBot="1" x14ac:dyDescent="0.4">
      <c r="B11" s="303"/>
      <c r="C11" s="307"/>
      <c r="D11" s="4"/>
      <c r="E11" s="4"/>
      <c r="F11" s="255" t="s">
        <v>205</v>
      </c>
      <c r="G11" s="258">
        <v>12</v>
      </c>
      <c r="H11" s="259">
        <v>13</v>
      </c>
      <c r="I11" s="259">
        <v>13</v>
      </c>
      <c r="J11" s="259">
        <v>13</v>
      </c>
      <c r="K11" s="259">
        <v>13</v>
      </c>
      <c r="L11" s="259">
        <v>13</v>
      </c>
      <c r="M11" s="259">
        <v>13</v>
      </c>
      <c r="N11" s="259">
        <v>13</v>
      </c>
      <c r="O11" s="5"/>
      <c r="P11" s="445"/>
      <c r="Q11" s="5"/>
      <c r="R11" s="58"/>
      <c r="S11" s="206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</row>
    <row r="12" spans="2:34" ht="15" thickBot="1" x14ac:dyDescent="0.4">
      <c r="B12" s="303"/>
      <c r="C12" s="307"/>
      <c r="D12" s="249"/>
      <c r="E12" s="41"/>
      <c r="F12" s="250"/>
      <c r="G12" s="251">
        <f>IF(G9=0,0,G9-1)</f>
        <v>0</v>
      </c>
      <c r="H12" s="251">
        <f>IF(G9=0,0,1)</f>
        <v>0</v>
      </c>
      <c r="I12" s="251">
        <f t="shared" ref="I12:N12" si="0">I9</f>
        <v>12</v>
      </c>
      <c r="J12" s="251">
        <f t="shared" si="0"/>
        <v>12</v>
      </c>
      <c r="K12" s="251">
        <f t="shared" si="0"/>
        <v>12</v>
      </c>
      <c r="L12" s="251">
        <f t="shared" si="0"/>
        <v>0</v>
      </c>
      <c r="M12" s="251">
        <f t="shared" si="0"/>
        <v>0</v>
      </c>
      <c r="N12" s="251">
        <f t="shared" si="0"/>
        <v>0</v>
      </c>
      <c r="O12" s="41"/>
      <c r="P12" s="453" t="s">
        <v>297</v>
      </c>
      <c r="Q12" s="252" t="s">
        <v>208</v>
      </c>
      <c r="R12" s="253" t="s">
        <v>207</v>
      </c>
      <c r="S12" s="206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</row>
    <row r="13" spans="2:34" x14ac:dyDescent="0.35">
      <c r="B13" s="303"/>
      <c r="C13" s="307"/>
      <c r="D13" s="315" t="s">
        <v>76</v>
      </c>
      <c r="E13" s="316">
        <v>2</v>
      </c>
      <c r="F13" s="270"/>
      <c r="G13" s="319">
        <v>0</v>
      </c>
      <c r="H13" s="320">
        <v>0</v>
      </c>
      <c r="I13" s="320">
        <v>12</v>
      </c>
      <c r="J13" s="320">
        <v>0</v>
      </c>
      <c r="K13" s="320">
        <v>12</v>
      </c>
      <c r="L13" s="320">
        <v>0</v>
      </c>
      <c r="M13" s="320">
        <v>0</v>
      </c>
      <c r="N13" s="320">
        <v>0</v>
      </c>
      <c r="O13" s="214"/>
      <c r="P13" s="449"/>
      <c r="Q13" s="233">
        <f>SUM(G13:N13)</f>
        <v>24</v>
      </c>
      <c r="R13" s="248">
        <f>Q13*F15</f>
        <v>24</v>
      </c>
      <c r="S13" s="206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</row>
    <row r="14" spans="2:34" x14ac:dyDescent="0.35">
      <c r="B14" s="303"/>
      <c r="C14" s="307"/>
      <c r="D14" s="317" t="s">
        <v>218</v>
      </c>
      <c r="E14" s="318"/>
      <c r="F14" s="273" t="str">
        <f>IF(D14="Name:","@FoFö: ggf. PK korrigieren", "")</f>
        <v/>
      </c>
      <c r="G14" s="269">
        <f>IF($F15=0,0,IF($D$3="voraussichtliche Kosten", INDEX(Tabelle!$A$4:$S$118,$E16,G$10), INDEX(Tabelle!$A$4:$S$118,$E16,G$11)))</f>
        <v>5917.378166131999</v>
      </c>
      <c r="H14" s="269">
        <f>IF($F15=0,0,IF($D$3="voraussichtliche Kosten", INDEX(Tabelle!$A$4:$S$118,$E16,H$10), INDEX(Tabelle!$A$4:$S$118,$E16,H$11)))</f>
        <v>6076.0649413841666</v>
      </c>
      <c r="I14" s="269">
        <f>IF($F15=0,0,IF($D$3="voraussichtliche Kosten", INDEX(Tabelle!$A$4:$S$118,$E16,I$10), INDEX(Tabelle!$A$4:$S$118,$E16,I$11)))</f>
        <v>6076.0649413841666</v>
      </c>
      <c r="J14" s="269">
        <f>IF($F15=0,0,IF($D$3="voraussichtliche Kosten", INDEX(Tabelle!$A$4:$S$118,$E16,J$10), INDEX(Tabelle!$A$4:$S$118,$E16,J$11)))</f>
        <v>6076.0649413841666</v>
      </c>
      <c r="K14" s="269">
        <f>IF($F15=0,0,IF($D$3="voraussichtliche Kosten", INDEX(Tabelle!$A$4:$S$118,$E16,K$10), INDEX(Tabelle!$A$4:$S$118,$E16,K$11)))</f>
        <v>6076.0649413841666</v>
      </c>
      <c r="L14" s="269">
        <f>IF($F15=0,0,IF($D$3="voraussichtliche Kosten", INDEX(Tabelle!$A$4:$S$118,$E16,L$10), INDEX(Tabelle!$A$4:$S$118,$E16,L$11)))</f>
        <v>6076.0649413841666</v>
      </c>
      <c r="M14" s="269">
        <f>IF($F15=0,0,IF($D$3="voraussichtliche Kosten", INDEX(Tabelle!$A$4:$S$118,$E16,M$10), INDEX(Tabelle!$A$4:$S$118,$E16,M$11)))</f>
        <v>6076.0649413841666</v>
      </c>
      <c r="N14" s="269">
        <f>IF($F15=0,0,IF($D$3="voraussichtliche Kosten", INDEX(Tabelle!$A$4:$S$118,$E16,N$10), INDEX(Tabelle!$A$4:$S$118,$E16,N$11)))</f>
        <v>6076.0649413841666</v>
      </c>
      <c r="O14" s="214"/>
      <c r="P14" s="264">
        <f>IF(SUM(G13:N13)=0,0,SUMPRODUCT(G13:N13,G14:N14)/SUM(G13:N13))</f>
        <v>6076.0649413841666</v>
      </c>
      <c r="Q14" s="4"/>
      <c r="R14" s="54"/>
      <c r="S14" s="206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</row>
    <row r="15" spans="2:34" x14ac:dyDescent="0.35">
      <c r="B15" s="303"/>
      <c r="C15" s="307"/>
      <c r="D15" s="266" t="s">
        <v>149</v>
      </c>
      <c r="E15" s="261">
        <f>IF(D13='Infos FoFö'!$C$99,1,IF(D13='Infos FoFö'!$C$100,2,IF(D13='Infos FoFö'!$C$101,3,IF(D13='Infos FoFö'!$C$102,4,IF(D13='Infos FoFö'!$C$103,5,IF(D13='Infos FoFö'!$C$104,6,IF(D13='Infos FoFö'!$C$105,7,IF(D13='Infos FoFö'!$C$106,8,IF(D13='Infos FoFö'!$C$107,9,IF(D13='Infos FoFö'!$C$108,10,IF(D13='Infos FoFö'!$C$109,11,IF(D13='Infos FoFö'!$C$110,12,IF(D13='Infos FoFö'!$C$111,13,IF(D13='Infos FoFö'!$C$112,14,IF(D13='Infos FoFö'!$C$113,15,IF(D13='Infos FoFö'!$C$114,16,IF(D13='Infos FoFö'!$C$115,17,IF(D13='Infos FoFö'!$C$116,18,IF(D13='Infos FoFö'!$C$117,19,"Fehler")))))))))))))))))))</f>
        <v>5</v>
      </c>
      <c r="F15" s="321">
        <v>1</v>
      </c>
      <c r="G15" s="216">
        <f>G14*$F15</f>
        <v>5917.378166131999</v>
      </c>
      <c r="H15" s="216">
        <f t="shared" ref="H15:N15" si="1">H14*$F15</f>
        <v>6076.0649413841666</v>
      </c>
      <c r="I15" s="216">
        <f t="shared" si="1"/>
        <v>6076.0649413841666</v>
      </c>
      <c r="J15" s="216">
        <f t="shared" si="1"/>
        <v>6076.0649413841666</v>
      </c>
      <c r="K15" s="216">
        <f t="shared" si="1"/>
        <v>6076.0649413841666</v>
      </c>
      <c r="L15" s="216">
        <f t="shared" si="1"/>
        <v>6076.0649413841666</v>
      </c>
      <c r="M15" s="216">
        <f t="shared" ref="M15" si="2">M14*$F15</f>
        <v>6076.0649413841666</v>
      </c>
      <c r="N15" s="216">
        <f t="shared" si="1"/>
        <v>6076.0649413841666</v>
      </c>
      <c r="O15" s="207"/>
      <c r="P15" s="3"/>
      <c r="Q15" s="4"/>
      <c r="R15" s="54"/>
      <c r="S15" s="206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</row>
    <row r="16" spans="2:34" ht="15" thickBot="1" x14ac:dyDescent="0.4">
      <c r="B16" s="303"/>
      <c r="C16" s="307"/>
      <c r="D16" s="260" t="s">
        <v>159</v>
      </c>
      <c r="E16" s="265">
        <f>2+(E15-1)*6+(6-E13)</f>
        <v>30</v>
      </c>
      <c r="F16" s="795" t="s">
        <v>667</v>
      </c>
      <c r="G16" s="235">
        <f>G13*G15</f>
        <v>0</v>
      </c>
      <c r="H16" s="235">
        <f t="shared" ref="H16:N16" si="3">H13*H15</f>
        <v>0</v>
      </c>
      <c r="I16" s="235">
        <f t="shared" si="3"/>
        <v>72912.779296609995</v>
      </c>
      <c r="J16" s="235">
        <f t="shared" si="3"/>
        <v>0</v>
      </c>
      <c r="K16" s="235">
        <f t="shared" si="3"/>
        <v>72912.779296609995</v>
      </c>
      <c r="L16" s="235">
        <f t="shared" si="3"/>
        <v>0</v>
      </c>
      <c r="M16" s="235">
        <f t="shared" ref="M16" si="4">M13*M15</f>
        <v>0</v>
      </c>
      <c r="N16" s="235">
        <f t="shared" si="3"/>
        <v>0</v>
      </c>
      <c r="O16" s="236">
        <f>SUM(G16:N16)</f>
        <v>145825.55859321999</v>
      </c>
      <c r="P16" s="237"/>
      <c r="Q16" s="237"/>
      <c r="R16" s="238"/>
      <c r="S16" s="206"/>
      <c r="U16" s="332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</row>
    <row r="17" spans="2:34" x14ac:dyDescent="0.35">
      <c r="B17" s="303"/>
      <c r="C17" s="307"/>
      <c r="D17" s="322" t="s">
        <v>76</v>
      </c>
      <c r="E17" s="316">
        <v>2</v>
      </c>
      <c r="F17" s="270"/>
      <c r="G17" s="323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v>0</v>
      </c>
      <c r="M17" s="324">
        <v>0</v>
      </c>
      <c r="N17" s="324">
        <v>0</v>
      </c>
      <c r="O17" s="239"/>
      <c r="P17" s="450"/>
      <c r="Q17" s="234">
        <f>SUM(G17:N17)</f>
        <v>0</v>
      </c>
      <c r="R17" s="240">
        <f>Q17*F19</f>
        <v>0</v>
      </c>
      <c r="S17" s="206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</row>
    <row r="18" spans="2:34" x14ac:dyDescent="0.35">
      <c r="B18" s="303"/>
      <c r="C18" s="307"/>
      <c r="D18" s="317" t="s">
        <v>218</v>
      </c>
      <c r="E18" s="318"/>
      <c r="F18" s="273" t="str">
        <f>IF(D18="Name:","@FoFö: ggf. PK korrigieren", "")</f>
        <v/>
      </c>
      <c r="G18" s="269">
        <f>IF($F19=0,0,IF($D$3="voraussichtliche Kosten", INDEX(Tabelle!$A$4:$S$118,$E20,G$10), INDEX(Tabelle!$A$4:$S$118,$E20,G$11)))</f>
        <v>0</v>
      </c>
      <c r="H18" s="269">
        <f>IF($F19=0,0,IF($D$3="voraussichtliche Kosten", INDEX(Tabelle!$A$4:$S$118,$E20,H$10), INDEX(Tabelle!$A$4:$S$118,$E20,H$11)))</f>
        <v>0</v>
      </c>
      <c r="I18" s="269">
        <f>IF($F19=0,0,IF($D$3="voraussichtliche Kosten", INDEX(Tabelle!$A$4:$S$118,$E20,I$10), INDEX(Tabelle!$A$4:$S$118,$E20,I$11)))</f>
        <v>0</v>
      </c>
      <c r="J18" s="269">
        <f>IF($F19=0,0,IF($D$3="voraussichtliche Kosten", INDEX(Tabelle!$A$4:$S$118,$E20,J$10), INDEX(Tabelle!$A$4:$S$118,$E20,J$11)))</f>
        <v>0</v>
      </c>
      <c r="K18" s="269">
        <f>IF($F19=0,0,IF($D$3="voraussichtliche Kosten", INDEX(Tabelle!$A$4:$S$118,$E20,K$10), INDEX(Tabelle!$A$4:$S$118,$E20,K$11)))</f>
        <v>0</v>
      </c>
      <c r="L18" s="269">
        <f>IF($F19=0,0,IF($D$3="voraussichtliche Kosten", INDEX(Tabelle!$A$4:$S$118,$E20,L$10), INDEX(Tabelle!$A$4:$S$118,$E20,L$11)))</f>
        <v>0</v>
      </c>
      <c r="M18" s="269">
        <f>IF($F19=0,0,IF($D$3="voraussichtliche Kosten", INDEX(Tabelle!$A$4:$S$118,$E20,M$10), INDEX(Tabelle!$A$4:$S$118,$E20,M$11)))</f>
        <v>0</v>
      </c>
      <c r="N18" s="269">
        <f>IF($F19=0,0,IF($D$3="voraussichtliche Kosten", INDEX(Tabelle!$A$4:$S$118,$E20,N$10), INDEX(Tabelle!$A$4:$S$118,$E20,N$11)))</f>
        <v>0</v>
      </c>
      <c r="O18" s="214"/>
      <c r="P18" s="264">
        <f>IF(SUM(G17:N17)=0,0,SUMPRODUCT(G17:N17,G18:N18)/SUM(G17:N17))</f>
        <v>0</v>
      </c>
      <c r="Q18" s="3"/>
      <c r="R18" s="241"/>
      <c r="S18" s="206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</row>
    <row r="19" spans="2:34" x14ac:dyDescent="0.35">
      <c r="B19" s="303"/>
      <c r="C19" s="307"/>
      <c r="D19" s="260" t="s">
        <v>149</v>
      </c>
      <c r="E19" s="261">
        <f>IF(D17='Infos FoFö'!$C$99,1,IF(D17='Infos FoFö'!$C$100,2,IF(D17='Infos FoFö'!$C$101,3,IF(D17='Infos FoFö'!$C$102,4,IF(D17='Infos FoFö'!$C$103,5,IF(D17='Infos FoFö'!$C$104,6,IF(D17='Infos FoFö'!$C$105,7,IF(D17='Infos FoFö'!$C$106,8,IF(D17='Infos FoFö'!$C$107,9,IF(D17='Infos FoFö'!$C$108,10,IF(D17='Infos FoFö'!$C$109,11,IF(D17='Infos FoFö'!$C$110,12,IF(D17='Infos FoFö'!$C$111,13,IF(D17='Infos FoFö'!$C$112,14,IF(D17='Infos FoFö'!$C$113,15,IF(D17='Infos FoFö'!$C$114,16,IF(D17='Infos FoFö'!$C$115,17,IF(D17='Infos FoFö'!$C$116,18,IF(D17='Infos FoFö'!$C$117,19,"Fehler")))))))))))))))))))</f>
        <v>5</v>
      </c>
      <c r="F19" s="321">
        <v>0</v>
      </c>
      <c r="G19" s="216">
        <f>G18*$F19</f>
        <v>0</v>
      </c>
      <c r="H19" s="216">
        <f t="shared" ref="H19" si="5">H18*$F19</f>
        <v>0</v>
      </c>
      <c r="I19" s="216">
        <f t="shared" ref="I19" si="6">I18*$F19</f>
        <v>0</v>
      </c>
      <c r="J19" s="216">
        <f t="shared" ref="J19" si="7">J18*$F19</f>
        <v>0</v>
      </c>
      <c r="K19" s="216">
        <f t="shared" ref="K19" si="8">K18*$F19</f>
        <v>0</v>
      </c>
      <c r="L19" s="216">
        <f t="shared" ref="L19" si="9">L18*$F19</f>
        <v>0</v>
      </c>
      <c r="M19" s="216">
        <f t="shared" ref="M19:N19" si="10">M18*$F19</f>
        <v>0</v>
      </c>
      <c r="N19" s="216">
        <f t="shared" si="10"/>
        <v>0</v>
      </c>
      <c r="O19" s="207"/>
      <c r="P19" s="3"/>
      <c r="Q19" s="3"/>
      <c r="R19" s="241"/>
      <c r="S19" s="206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</row>
    <row r="20" spans="2:34" ht="15" thickBot="1" x14ac:dyDescent="0.4">
      <c r="B20" s="303"/>
      <c r="C20" s="307"/>
      <c r="D20" s="260" t="s">
        <v>159</v>
      </c>
      <c r="E20" s="265">
        <f>2+(E19-1)*6+(6-E17)</f>
        <v>30</v>
      </c>
      <c r="F20" s="795" t="s">
        <v>667</v>
      </c>
      <c r="G20" s="235">
        <f>G17*G19</f>
        <v>0</v>
      </c>
      <c r="H20" s="235">
        <f t="shared" ref="H20" si="11">H17*H19</f>
        <v>0</v>
      </c>
      <c r="I20" s="235">
        <f t="shared" ref="I20" si="12">I17*I19</f>
        <v>0</v>
      </c>
      <c r="J20" s="235">
        <f t="shared" ref="J20" si="13">J17*J19</f>
        <v>0</v>
      </c>
      <c r="K20" s="235">
        <f t="shared" ref="K20" si="14">K17*K19</f>
        <v>0</v>
      </c>
      <c r="L20" s="235">
        <f t="shared" ref="L20" si="15">L17*L19</f>
        <v>0</v>
      </c>
      <c r="M20" s="235">
        <f t="shared" ref="M20:N20" si="16">M17*M19</f>
        <v>0</v>
      </c>
      <c r="N20" s="235">
        <f t="shared" si="16"/>
        <v>0</v>
      </c>
      <c r="O20" s="236">
        <f>SUM(G20:N20)</f>
        <v>0</v>
      </c>
      <c r="P20" s="237"/>
      <c r="Q20" s="237"/>
      <c r="R20" s="238"/>
      <c r="S20" s="206"/>
      <c r="U20" s="332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</row>
    <row r="21" spans="2:34" x14ac:dyDescent="0.35">
      <c r="B21" s="303"/>
      <c r="C21" s="307"/>
      <c r="D21" s="322" t="s">
        <v>76</v>
      </c>
      <c r="E21" s="316">
        <v>2</v>
      </c>
      <c r="F21" s="270"/>
      <c r="G21" s="323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v>0</v>
      </c>
      <c r="M21" s="324">
        <v>0</v>
      </c>
      <c r="N21" s="324">
        <v>0</v>
      </c>
      <c r="O21" s="239"/>
      <c r="P21" s="449"/>
      <c r="Q21" s="234">
        <f>SUM(G21:N21)</f>
        <v>0</v>
      </c>
      <c r="R21" s="240">
        <f>Q21*F23</f>
        <v>0</v>
      </c>
      <c r="S21" s="206"/>
      <c r="U21" s="332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</row>
    <row r="22" spans="2:34" x14ac:dyDescent="0.35">
      <c r="B22" s="303"/>
      <c r="C22" s="307"/>
      <c r="D22" s="317" t="s">
        <v>218</v>
      </c>
      <c r="E22" s="318"/>
      <c r="F22" s="273" t="str">
        <f>IF(D22="Name:","@FoFö: ggf. PK korrigieren", "")</f>
        <v/>
      </c>
      <c r="G22" s="269">
        <f>IF($F23=0,0,IF($D$3="voraussichtliche Kosten", INDEX(Tabelle!$A$4:$S$118,$E24,G$10), INDEX(Tabelle!$A$4:$S$118,$E24,G$11)))</f>
        <v>0</v>
      </c>
      <c r="H22" s="269">
        <f>IF($F23=0,0,IF($D$3="voraussichtliche Kosten", INDEX(Tabelle!$A$4:$S$118,$E24,H$10), INDEX(Tabelle!$A$4:$S$118,$E24,H$11)))</f>
        <v>0</v>
      </c>
      <c r="I22" s="269">
        <f>IF($F23=0,0,IF($D$3="voraussichtliche Kosten", INDEX(Tabelle!$A$4:$S$118,$E24,I$10), INDEX(Tabelle!$A$4:$S$118,$E24,I$11)))</f>
        <v>0</v>
      </c>
      <c r="J22" s="269">
        <f>IF($F23=0,0,IF($D$3="voraussichtliche Kosten", INDEX(Tabelle!$A$4:$S$118,$E24,J$10), INDEX(Tabelle!$A$4:$S$118,$E24,J$11)))</f>
        <v>0</v>
      </c>
      <c r="K22" s="269">
        <f>IF($F23=0,0,IF($D$3="voraussichtliche Kosten", INDEX(Tabelle!$A$4:$S$118,$E24,K$10), INDEX(Tabelle!$A$4:$S$118,$E24,K$11)))</f>
        <v>0</v>
      </c>
      <c r="L22" s="269">
        <f>IF($F23=0,0,IF($D$3="voraussichtliche Kosten", INDEX(Tabelle!$A$4:$S$118,$E24,L$10), INDEX(Tabelle!$A$4:$S$118,$E24,L$11)))</f>
        <v>0</v>
      </c>
      <c r="M22" s="269">
        <f>IF($F23=0,0,IF($D$3="voraussichtliche Kosten", INDEX(Tabelle!$A$4:$S$118,$E24,M$10), INDEX(Tabelle!$A$4:$S$118,$E24,M$11)))</f>
        <v>0</v>
      </c>
      <c r="N22" s="269">
        <f>IF($F23=0,0,IF($D$3="voraussichtliche Kosten", INDEX(Tabelle!$A$4:$S$118,$E24,N$10), INDEX(Tabelle!$A$4:$S$118,$E24,N$11)))</f>
        <v>0</v>
      </c>
      <c r="O22" s="214"/>
      <c r="P22" s="264">
        <f>IF(SUM(G21:N21)=0,0,SUMPRODUCT(G21:N21,G22:N22)/SUM(G21:N21))</f>
        <v>0</v>
      </c>
      <c r="Q22" s="3"/>
      <c r="R22" s="241"/>
      <c r="S22" s="206"/>
      <c r="U22" s="332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</row>
    <row r="23" spans="2:34" x14ac:dyDescent="0.35">
      <c r="B23" s="303"/>
      <c r="C23" s="307"/>
      <c r="D23" s="260" t="s">
        <v>149</v>
      </c>
      <c r="E23" s="261">
        <f>IF(D21='Infos FoFö'!$C$99,1,IF(D21='Infos FoFö'!$C$100,2,IF(D21='Infos FoFö'!$C$101,3,IF(D21='Infos FoFö'!$C$102,4,IF(D21='Infos FoFö'!$C$103,5,IF(D21='Infos FoFö'!$C$104,6,IF(D21='Infos FoFö'!$C$105,7,IF(D21='Infos FoFö'!$C$106,8,IF(D21='Infos FoFö'!$C$107,9,IF(D21='Infos FoFö'!$C$108,10,IF(D21='Infos FoFö'!$C$109,11,IF(D21='Infos FoFö'!$C$110,12,IF(D21='Infos FoFö'!$C$111,13,IF(D21='Infos FoFö'!$C$112,14,IF(D21='Infos FoFö'!$C$113,15,IF(D21='Infos FoFö'!$C$114,16,IF(D21='Infos FoFö'!$C$115,17,IF(D21='Infos FoFö'!$C$116,18,IF(D21='Infos FoFö'!$C$117,19,"Fehler")))))))))))))))))))</f>
        <v>5</v>
      </c>
      <c r="F23" s="321">
        <v>0</v>
      </c>
      <c r="G23" s="216">
        <f>G22*$F23</f>
        <v>0</v>
      </c>
      <c r="H23" s="216">
        <f t="shared" ref="H23:N23" si="17">H22*$F23</f>
        <v>0</v>
      </c>
      <c r="I23" s="216">
        <f t="shared" si="17"/>
        <v>0</v>
      </c>
      <c r="J23" s="216">
        <f t="shared" si="17"/>
        <v>0</v>
      </c>
      <c r="K23" s="216">
        <f t="shared" si="17"/>
        <v>0</v>
      </c>
      <c r="L23" s="216">
        <f t="shared" si="17"/>
        <v>0</v>
      </c>
      <c r="M23" s="216">
        <f t="shared" si="17"/>
        <v>0</v>
      </c>
      <c r="N23" s="216">
        <f t="shared" si="17"/>
        <v>0</v>
      </c>
      <c r="O23" s="207"/>
      <c r="P23" s="3"/>
      <c r="Q23" s="3"/>
      <c r="R23" s="241"/>
      <c r="S23" s="206"/>
      <c r="U23" s="332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</row>
    <row r="24" spans="2:34" ht="15" thickBot="1" x14ac:dyDescent="0.4">
      <c r="B24" s="303"/>
      <c r="C24" s="307"/>
      <c r="D24" s="260" t="s">
        <v>159</v>
      </c>
      <c r="E24" s="265">
        <f>2+(E23-1)*6+(6-E21)</f>
        <v>30</v>
      </c>
      <c r="F24" s="795" t="s">
        <v>667</v>
      </c>
      <c r="G24" s="235">
        <f>G21*G23</f>
        <v>0</v>
      </c>
      <c r="H24" s="235">
        <f t="shared" ref="H24:N24" si="18">H21*H23</f>
        <v>0</v>
      </c>
      <c r="I24" s="235">
        <f t="shared" si="18"/>
        <v>0</v>
      </c>
      <c r="J24" s="235">
        <f t="shared" si="18"/>
        <v>0</v>
      </c>
      <c r="K24" s="235">
        <f t="shared" si="18"/>
        <v>0</v>
      </c>
      <c r="L24" s="235">
        <f t="shared" si="18"/>
        <v>0</v>
      </c>
      <c r="M24" s="235">
        <f t="shared" si="18"/>
        <v>0</v>
      </c>
      <c r="N24" s="235">
        <f t="shared" si="18"/>
        <v>0</v>
      </c>
      <c r="O24" s="236">
        <f>SUM(G24:N24)</f>
        <v>0</v>
      </c>
      <c r="P24" s="237"/>
      <c r="Q24" s="237"/>
      <c r="R24" s="238"/>
      <c r="S24" s="206"/>
      <c r="U24" s="332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</row>
    <row r="25" spans="2:34" x14ac:dyDescent="0.35">
      <c r="B25" s="303"/>
      <c r="C25" s="307"/>
      <c r="D25" s="322" t="s">
        <v>76</v>
      </c>
      <c r="E25" s="316">
        <v>2</v>
      </c>
      <c r="F25" s="270"/>
      <c r="G25" s="323">
        <v>0</v>
      </c>
      <c r="H25" s="324">
        <v>0</v>
      </c>
      <c r="I25" s="324">
        <v>0</v>
      </c>
      <c r="J25" s="324">
        <v>0</v>
      </c>
      <c r="K25" s="324">
        <v>0</v>
      </c>
      <c r="L25" s="324">
        <v>0</v>
      </c>
      <c r="M25" s="324">
        <v>0</v>
      </c>
      <c r="N25" s="324">
        <v>0</v>
      </c>
      <c r="O25" s="239"/>
      <c r="P25" s="449"/>
      <c r="Q25" s="234">
        <f>SUM(G25:N25)</f>
        <v>0</v>
      </c>
      <c r="R25" s="240">
        <f>Q25*F27</f>
        <v>0</v>
      </c>
      <c r="S25" s="206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</row>
    <row r="26" spans="2:34" x14ac:dyDescent="0.35">
      <c r="B26" s="303"/>
      <c r="C26" s="307"/>
      <c r="D26" s="317" t="s">
        <v>218</v>
      </c>
      <c r="E26" s="318"/>
      <c r="F26" s="273" t="str">
        <f>IF(D26="Name:","@FoFö: ggf. PK korrigieren", "")</f>
        <v/>
      </c>
      <c r="G26" s="269">
        <f>IF($F27=0,0,IF($D$3="voraussichtliche Kosten", INDEX(Tabelle!$A$4:$S$118,$E28,G$10), INDEX(Tabelle!$A$4:$S$118,$E28,G$11)))</f>
        <v>0</v>
      </c>
      <c r="H26" s="269">
        <f>IF($F27=0,0,IF($D$3="voraussichtliche Kosten", INDEX(Tabelle!$A$4:$S$118,$E28,H$10), INDEX(Tabelle!$A$4:$S$118,$E28,H$11)))</f>
        <v>0</v>
      </c>
      <c r="I26" s="269">
        <f>IF($F27=0,0,IF($D$3="voraussichtliche Kosten", INDEX(Tabelle!$A$4:$S$118,$E28,I$10), INDEX(Tabelle!$A$4:$S$118,$E28,I$11)))</f>
        <v>0</v>
      </c>
      <c r="J26" s="269">
        <f>IF($F27=0,0,IF($D$3="voraussichtliche Kosten", INDEX(Tabelle!$A$4:$S$118,$E28,J$10), INDEX(Tabelle!$A$4:$S$118,$E28,J$11)))</f>
        <v>0</v>
      </c>
      <c r="K26" s="269">
        <f>IF($F27=0,0,IF($D$3="voraussichtliche Kosten", INDEX(Tabelle!$A$4:$S$118,$E28,K$10), INDEX(Tabelle!$A$4:$S$118,$E28,K$11)))</f>
        <v>0</v>
      </c>
      <c r="L26" s="269">
        <f>IF($F27=0,0,IF($D$3="voraussichtliche Kosten", INDEX(Tabelle!$A$4:$S$118,$E28,L$10), INDEX(Tabelle!$A$4:$S$118,$E28,L$11)))</f>
        <v>0</v>
      </c>
      <c r="M26" s="269">
        <f>IF($F27=0,0,IF($D$3="voraussichtliche Kosten", INDEX(Tabelle!$A$4:$S$118,$E28,M$10), INDEX(Tabelle!$A$4:$S$118,$E28,M$11)))</f>
        <v>0</v>
      </c>
      <c r="N26" s="269">
        <f>IF($F27=0,0,IF($D$3="voraussichtliche Kosten", INDEX(Tabelle!$A$4:$S$118,$E28,N$10), INDEX(Tabelle!$A$4:$S$118,$E28,N$11)))</f>
        <v>0</v>
      </c>
      <c r="O26" s="214"/>
      <c r="P26" s="264">
        <f>IF(SUM(G25:N25)=0,0,SUMPRODUCT(G25:N25,G26:N26)/SUM(G25:N25))</f>
        <v>0</v>
      </c>
      <c r="Q26" s="3"/>
      <c r="R26" s="241"/>
      <c r="S26" s="206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</row>
    <row r="27" spans="2:34" x14ac:dyDescent="0.35">
      <c r="B27" s="303"/>
      <c r="C27" s="307"/>
      <c r="D27" s="260" t="s">
        <v>149</v>
      </c>
      <c r="E27" s="261">
        <f>IF(D25='Infos FoFö'!$C$99,1,IF(D25='Infos FoFö'!$C$100,2,IF(D25='Infos FoFö'!$C$101,3,IF(D25='Infos FoFö'!$C$102,4,IF(D25='Infos FoFö'!$C$103,5,IF(D25='Infos FoFö'!$C$104,6,IF(D25='Infos FoFö'!$C$105,7,IF(D25='Infos FoFö'!$C$106,8,IF(D25='Infos FoFö'!$C$107,9,IF(D25='Infos FoFö'!$C$108,10,IF(D25='Infos FoFö'!$C$109,11,IF(D25='Infos FoFö'!$C$110,12,IF(D25='Infos FoFö'!$C$111,13,IF(D25='Infos FoFö'!$C$112,14,IF(D25='Infos FoFö'!$C$113,15,IF(D25='Infos FoFö'!$C$114,16,IF(D25='Infos FoFö'!$C$115,17,IF(D25='Infos FoFö'!$C$116,18,IF(D25='Infos FoFö'!$C$117,19,"Fehler")))))))))))))))))))</f>
        <v>5</v>
      </c>
      <c r="F27" s="321">
        <v>0</v>
      </c>
      <c r="G27" s="216">
        <f>G26*$F27</f>
        <v>0</v>
      </c>
      <c r="H27" s="216">
        <f t="shared" ref="H27" si="19">H26*$F27</f>
        <v>0</v>
      </c>
      <c r="I27" s="216">
        <f t="shared" ref="I27" si="20">I26*$F27</f>
        <v>0</v>
      </c>
      <c r="J27" s="216">
        <f t="shared" ref="J27" si="21">J26*$F27</f>
        <v>0</v>
      </c>
      <c r="K27" s="216">
        <f t="shared" ref="K27" si="22">K26*$F27</f>
        <v>0</v>
      </c>
      <c r="L27" s="216">
        <f t="shared" ref="L27" si="23">L26*$F27</f>
        <v>0</v>
      </c>
      <c r="M27" s="216">
        <f t="shared" ref="M27:N27" si="24">M26*$F27</f>
        <v>0</v>
      </c>
      <c r="N27" s="216">
        <f t="shared" si="24"/>
        <v>0</v>
      </c>
      <c r="O27" s="207"/>
      <c r="P27" s="3"/>
      <c r="Q27" s="3"/>
      <c r="R27" s="241"/>
      <c r="S27" s="206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</row>
    <row r="28" spans="2:34" ht="15" thickBot="1" x14ac:dyDescent="0.4">
      <c r="B28" s="303"/>
      <c r="C28" s="307"/>
      <c r="D28" s="260" t="s">
        <v>159</v>
      </c>
      <c r="E28" s="265">
        <f>2+(E27-1)*6+(6-E25)</f>
        <v>30</v>
      </c>
      <c r="F28" s="795" t="s">
        <v>667</v>
      </c>
      <c r="G28" s="235">
        <f>G25*G27</f>
        <v>0</v>
      </c>
      <c r="H28" s="235">
        <f t="shared" ref="H28" si="25">H25*H27</f>
        <v>0</v>
      </c>
      <c r="I28" s="235">
        <f t="shared" ref="I28" si="26">I25*I27</f>
        <v>0</v>
      </c>
      <c r="J28" s="235">
        <f t="shared" ref="J28" si="27">J25*J27</f>
        <v>0</v>
      </c>
      <c r="K28" s="235">
        <f t="shared" ref="K28" si="28">K25*K27</f>
        <v>0</v>
      </c>
      <c r="L28" s="235">
        <f t="shared" ref="L28" si="29">L25*L27</f>
        <v>0</v>
      </c>
      <c r="M28" s="235">
        <f t="shared" ref="M28:N28" si="30">M25*M27</f>
        <v>0</v>
      </c>
      <c r="N28" s="235">
        <f t="shared" si="30"/>
        <v>0</v>
      </c>
      <c r="O28" s="236">
        <f>SUM(G28:N28)</f>
        <v>0</v>
      </c>
      <c r="P28" s="237"/>
      <c r="Q28" s="237"/>
      <c r="R28" s="238"/>
      <c r="S28" s="206"/>
      <c r="U28" s="332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</row>
    <row r="29" spans="2:34" x14ac:dyDescent="0.35">
      <c r="B29" s="303"/>
      <c r="C29" s="307"/>
      <c r="D29" s="325" t="s">
        <v>76</v>
      </c>
      <c r="E29" s="316">
        <v>2</v>
      </c>
      <c r="F29" s="97"/>
      <c r="G29" s="323">
        <v>0</v>
      </c>
      <c r="H29" s="324">
        <v>0</v>
      </c>
      <c r="I29" s="324">
        <v>0</v>
      </c>
      <c r="J29" s="324">
        <v>0</v>
      </c>
      <c r="K29" s="324">
        <v>0</v>
      </c>
      <c r="L29" s="324">
        <v>0</v>
      </c>
      <c r="M29" s="324">
        <v>0</v>
      </c>
      <c r="N29" s="324">
        <v>0</v>
      </c>
      <c r="O29" s="239"/>
      <c r="P29" s="446"/>
      <c r="Q29" s="234">
        <f>SUM(G29:N29)</f>
        <v>0</v>
      </c>
      <c r="R29" s="240">
        <f>Q29*F31</f>
        <v>0</v>
      </c>
      <c r="S29" s="206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</row>
    <row r="30" spans="2:34" x14ac:dyDescent="0.35">
      <c r="B30" s="303"/>
      <c r="C30" s="307"/>
      <c r="D30" s="317" t="s">
        <v>218</v>
      </c>
      <c r="E30" s="318"/>
      <c r="F30" s="273" t="str">
        <f>IF(D30="Name:","@FoFö: ggf. PK korrigieren", "")</f>
        <v/>
      </c>
      <c r="G30" s="269">
        <f>IF($F31=0,0,IF($D$3="voraussichtliche Kosten", INDEX(Tabelle!$A$4:$S$118,$E32,G$10), INDEX(Tabelle!$A$4:$S$118,$E32,G$11)))</f>
        <v>5917.378166131999</v>
      </c>
      <c r="H30" s="269">
        <f>IF($F31=0,0,IF($D$3="voraussichtliche Kosten", INDEX(Tabelle!$A$4:$S$118,$E32,H$10), INDEX(Tabelle!$A$4:$S$118,$E32,H$11)))</f>
        <v>6076.0649413841666</v>
      </c>
      <c r="I30" s="269">
        <f>IF($F31=0,0,IF($D$3="voraussichtliche Kosten", INDEX(Tabelle!$A$4:$S$118,$E32,I$10), INDEX(Tabelle!$A$4:$S$118,$E32,I$11)))</f>
        <v>6076.0649413841666</v>
      </c>
      <c r="J30" s="269">
        <f>IF($F31=0,0,IF($D$3="voraussichtliche Kosten", INDEX(Tabelle!$A$4:$S$118,$E32,J$10), INDEX(Tabelle!$A$4:$S$118,$E32,J$11)))</f>
        <v>6076.0649413841666</v>
      </c>
      <c r="K30" s="269">
        <f>IF($F31=0,0,IF($D$3="voraussichtliche Kosten", INDEX(Tabelle!$A$4:$S$118,$E32,K$10), INDEX(Tabelle!$A$4:$S$118,$E32,K$11)))</f>
        <v>6076.0649413841666</v>
      </c>
      <c r="L30" s="269">
        <f>IF($F31=0,0,IF($D$3="voraussichtliche Kosten", INDEX(Tabelle!$A$4:$S$118,$E32,L$10), INDEX(Tabelle!$A$4:$S$118,$E32,L$11)))</f>
        <v>6076.0649413841666</v>
      </c>
      <c r="M30" s="269">
        <f>IF($F31=0,0,IF($D$3="voraussichtliche Kosten", INDEX(Tabelle!$A$4:$S$118,$E32,M$10), INDEX(Tabelle!$A$4:$S$118,$E32,M$11)))</f>
        <v>6076.0649413841666</v>
      </c>
      <c r="N30" s="269">
        <f>IF($F31=0,0,IF($D$3="voraussichtliche Kosten", INDEX(Tabelle!$A$4:$S$118,$E32,N$10), INDEX(Tabelle!$A$4:$S$118,$E32,N$11)))</f>
        <v>6076.0649413841666</v>
      </c>
      <c r="O30" s="214"/>
      <c r="P30" s="264">
        <f>IF(SUM(G29:N29)=0,0,SUMPRODUCT(G29:N29,G30:N30)/SUM(G29:N29))</f>
        <v>0</v>
      </c>
      <c r="Q30" s="3"/>
      <c r="R30" s="241"/>
      <c r="S30" s="206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</row>
    <row r="31" spans="2:34" x14ac:dyDescent="0.35">
      <c r="B31" s="303"/>
      <c r="C31" s="307"/>
      <c r="D31" s="266" t="s">
        <v>149</v>
      </c>
      <c r="E31" s="261">
        <f>IF(D29='Infos FoFö'!$C$99,1,IF(D29='Infos FoFö'!$C$100,2,IF(D29='Infos FoFö'!$C$101,3,IF(D29='Infos FoFö'!$C$102,4,IF(D29='Infos FoFö'!$C$103,5,IF(D29='Infos FoFö'!$C$104,6,IF(D29='Infos FoFö'!$C$105,7,IF(D29='Infos FoFö'!$C$106,8,IF(D29='Infos FoFö'!$C$107,9,IF(D29='Infos FoFö'!$C$108,10,IF(D29='Infos FoFö'!$C$109,11,IF(D29='Infos FoFö'!$C$110,12,IF(D29='Infos FoFö'!$C$111,13,IF(D29='Infos FoFö'!$C$112,14,IF(D29='Infos FoFö'!$C$113,15,IF(D29='Infos FoFö'!$C$114,16,IF(D29='Infos FoFö'!$C$115,17,IF(D29='Infos FoFö'!$C$116,18,IF(D29='Infos FoFö'!$C$117,19,"Fehler")))))))))))))))))))</f>
        <v>5</v>
      </c>
      <c r="F31" s="321">
        <v>0.5</v>
      </c>
      <c r="G31" s="216">
        <f>G30*$F31</f>
        <v>2958.6890830659995</v>
      </c>
      <c r="H31" s="216">
        <f t="shared" ref="H31" si="31">H30*$F31</f>
        <v>3038.0324706920833</v>
      </c>
      <c r="I31" s="216">
        <f t="shared" ref="I31" si="32">I30*$F31</f>
        <v>3038.0324706920833</v>
      </c>
      <c r="J31" s="216">
        <f t="shared" ref="J31" si="33">J30*$F31</f>
        <v>3038.0324706920833</v>
      </c>
      <c r="K31" s="216">
        <f t="shared" ref="K31" si="34">K30*$F31</f>
        <v>3038.0324706920833</v>
      </c>
      <c r="L31" s="216">
        <f t="shared" ref="L31" si="35">L30*$F31</f>
        <v>3038.0324706920833</v>
      </c>
      <c r="M31" s="216">
        <f t="shared" ref="M31:N31" si="36">M30*$F31</f>
        <v>3038.0324706920833</v>
      </c>
      <c r="N31" s="216">
        <f t="shared" si="36"/>
        <v>3038.0324706920833</v>
      </c>
      <c r="O31" s="207"/>
      <c r="P31" s="3"/>
      <c r="Q31" s="3"/>
      <c r="R31" s="241"/>
      <c r="S31" s="206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</row>
    <row r="32" spans="2:34" ht="15" thickBot="1" x14ac:dyDescent="0.4">
      <c r="B32" s="303"/>
      <c r="C32" s="307"/>
      <c r="D32" s="271" t="s">
        <v>159</v>
      </c>
      <c r="E32" s="272">
        <f>2+(E31-1)*6+(6-E29)</f>
        <v>30</v>
      </c>
      <c r="F32" s="795" t="s">
        <v>667</v>
      </c>
      <c r="G32" s="235">
        <f>G29*G31</f>
        <v>0</v>
      </c>
      <c r="H32" s="235">
        <f t="shared" ref="H32" si="37">H29*H31</f>
        <v>0</v>
      </c>
      <c r="I32" s="235">
        <f t="shared" ref="I32" si="38">I29*I31</f>
        <v>0</v>
      </c>
      <c r="J32" s="235">
        <f t="shared" ref="J32" si="39">J29*J31</f>
        <v>0</v>
      </c>
      <c r="K32" s="235">
        <f t="shared" ref="K32" si="40">K29*K31</f>
        <v>0</v>
      </c>
      <c r="L32" s="235">
        <f t="shared" ref="L32" si="41">L29*L31</f>
        <v>0</v>
      </c>
      <c r="M32" s="235">
        <f t="shared" ref="M32:N32" si="42">M29*M31</f>
        <v>0</v>
      </c>
      <c r="N32" s="235">
        <f t="shared" si="42"/>
        <v>0</v>
      </c>
      <c r="O32" s="236">
        <f>SUM(G32:N32)</f>
        <v>0</v>
      </c>
      <c r="P32" s="237"/>
      <c r="Q32" s="237"/>
      <c r="R32" s="238"/>
      <c r="S32" s="206"/>
      <c r="U32" s="332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</row>
    <row r="33" spans="2:34" x14ac:dyDescent="0.35">
      <c r="B33" s="303"/>
      <c r="C33" s="307"/>
      <c r="D33" s="322" t="s">
        <v>50</v>
      </c>
      <c r="E33" s="213" t="s">
        <v>197</v>
      </c>
      <c r="F33" s="826">
        <v>5</v>
      </c>
      <c r="G33" s="844">
        <v>10</v>
      </c>
      <c r="H33" s="844">
        <v>10</v>
      </c>
      <c r="I33" s="324">
        <v>1</v>
      </c>
      <c r="J33" s="324">
        <v>0</v>
      </c>
      <c r="K33" s="324">
        <v>0</v>
      </c>
      <c r="L33" s="324">
        <v>0</v>
      </c>
      <c r="M33" s="324">
        <v>0</v>
      </c>
      <c r="N33" s="324">
        <v>0</v>
      </c>
      <c r="O33" s="242"/>
      <c r="P33" s="451"/>
      <c r="Q33" s="234">
        <f>SUM(G33:N33)</f>
        <v>21</v>
      </c>
      <c r="R33" s="240">
        <f>Q33*F34</f>
        <v>2.6362038664323379</v>
      </c>
      <c r="S33" s="206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</row>
    <row r="34" spans="2:34" x14ac:dyDescent="0.35">
      <c r="B34" s="303"/>
      <c r="C34" s="307"/>
      <c r="D34" s="243"/>
      <c r="E34" s="214"/>
      <c r="F34" s="827">
        <f>F33/39.83</f>
        <v>0.12553351744915894</v>
      </c>
      <c r="G34" s="823">
        <f>IF(D33="SHK",'Infos FoFö'!$D$40,'Infos FoFö'!$C$40)*(1+IF((F33*'Infos FoFö'!$C$49*IF(D33="SHK",'Infos FoFö'!$D$40,'Infos FoFö'!$C$40))&gt;='Infos FoFö'!$C$44,'Infos FoFö'!$C$42,'Infos FoFö'!$C$43))*F33*'Infos FoFö'!$C$49</f>
        <v>303.25804287999995</v>
      </c>
      <c r="H34" s="823">
        <f>IF(D33="SHK",'Infos FoFö'!$D$41,'Infos FoFö'!$C$41)*(1+IF((F33*'Infos FoFö'!$C$49*IF(D33="SHK",'Infos FoFö'!$D$41,'Infos FoFö'!$C$41))&gt;='Infos FoFö'!$C$44,'Infos FoFö'!$C$42,'Infos FoFö'!$C$43))*F33*'Infos FoFö'!$C$49</f>
        <v>337.26566399999996</v>
      </c>
      <c r="I34" s="264">
        <f>H34</f>
        <v>337.26566399999996</v>
      </c>
      <c r="J34" s="215">
        <f t="shared" ref="J34:L34" si="43">I34</f>
        <v>337.26566399999996</v>
      </c>
      <c r="K34" s="215">
        <f t="shared" si="43"/>
        <v>337.26566399999996</v>
      </c>
      <c r="L34" s="215">
        <f t="shared" si="43"/>
        <v>337.26566399999996</v>
      </c>
      <c r="M34" s="215">
        <f>L34</f>
        <v>337.26566399999996</v>
      </c>
      <c r="N34" s="267">
        <f>M34</f>
        <v>337.26566399999996</v>
      </c>
      <c r="O34" s="212"/>
      <c r="P34" s="264">
        <f>IF(SUM(G33:N33)=0,0,SUMPRODUCT(G33:N33,G34:N34)/SUM(G33:N33))</f>
        <v>321.07155870476186</v>
      </c>
      <c r="Q34" s="3"/>
      <c r="R34" s="241"/>
      <c r="S34" s="206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</row>
    <row r="35" spans="2:34" ht="15" thickBot="1" x14ac:dyDescent="0.4">
      <c r="B35" s="303"/>
      <c r="C35" s="307"/>
      <c r="D35" s="244"/>
      <c r="E35" s="792"/>
      <c r="F35" s="795" t="s">
        <v>668</v>
      </c>
      <c r="G35" s="845">
        <f>G33*G34</f>
        <v>3032.5804287999995</v>
      </c>
      <c r="H35" s="845">
        <f>H33*H34</f>
        <v>3372.6566399999997</v>
      </c>
      <c r="I35" s="824">
        <f t="shared" ref="I35:M35" si="44">I33*I34</f>
        <v>337.26566399999996</v>
      </c>
      <c r="J35" s="235">
        <f t="shared" si="44"/>
        <v>0</v>
      </c>
      <c r="K35" s="235">
        <f t="shared" si="44"/>
        <v>0</v>
      </c>
      <c r="L35" s="235">
        <f t="shared" si="44"/>
        <v>0</v>
      </c>
      <c r="M35" s="235">
        <f t="shared" si="44"/>
        <v>0</v>
      </c>
      <c r="N35" s="235">
        <f>N33*M34</f>
        <v>0</v>
      </c>
      <c r="O35" s="236">
        <f>SUM(G35:N35)</f>
        <v>6742.5027327999987</v>
      </c>
      <c r="P35" s="237"/>
      <c r="Q35" s="237"/>
      <c r="R35" s="238"/>
      <c r="S35" s="206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</row>
    <row r="36" spans="2:34" x14ac:dyDescent="0.35">
      <c r="B36" s="303"/>
      <c r="C36" s="307"/>
      <c r="D36" s="322" t="s">
        <v>14</v>
      </c>
      <c r="E36" s="213" t="s">
        <v>197</v>
      </c>
      <c r="F36" s="828">
        <v>5</v>
      </c>
      <c r="G36" s="844">
        <v>10</v>
      </c>
      <c r="H36" s="844">
        <v>10</v>
      </c>
      <c r="I36" s="324">
        <v>1</v>
      </c>
      <c r="J36" s="324">
        <v>0</v>
      </c>
      <c r="K36" s="324">
        <v>0</v>
      </c>
      <c r="L36" s="324">
        <v>0</v>
      </c>
      <c r="M36" s="324">
        <v>0</v>
      </c>
      <c r="N36" s="324">
        <v>0</v>
      </c>
      <c r="O36" s="242"/>
      <c r="P36" s="452"/>
      <c r="Q36" s="234">
        <f>SUM(G36:N36)</f>
        <v>21</v>
      </c>
      <c r="R36" s="240">
        <f>Q36*F37</f>
        <v>2.6362038664323379</v>
      </c>
      <c r="S36" s="206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</row>
    <row r="37" spans="2:34" x14ac:dyDescent="0.35">
      <c r="B37" s="303"/>
      <c r="C37" s="307"/>
      <c r="D37" s="243"/>
      <c r="E37" s="213"/>
      <c r="F37" s="829">
        <f>F36/39.83</f>
        <v>0.12553351744915894</v>
      </c>
      <c r="G37" s="823">
        <f>IF(D36="SHK",'Infos FoFö'!$D$40,'Infos FoFö'!$C$40)*(1+IF((F36*'Infos FoFö'!$C$49*IF(D36="SHK",'Infos FoFö'!$D$40,'Infos FoFö'!$C$40))&gt;='Infos FoFö'!$C$44,'Infos FoFö'!$C$42,'Infos FoFö'!$C$43))*F36*'Infos FoFö'!$C$49</f>
        <v>379.42387199999996</v>
      </c>
      <c r="H37" s="823">
        <f>IF(D36="SHK",'Infos FoFö'!$D$41,'Infos FoFö'!$C$41)*(1+IF((F36*'Infos FoFö'!$C$49*IF(D36="SHK",'Infos FoFö'!$D$41,'Infos FoFö'!$C$41))&gt;='Infos FoFö'!$C$44,'Infos FoFö'!$C$42,'Infos FoFö'!$C$43))*F36*'Infos FoFö'!$C$49</f>
        <v>421.58207999999996</v>
      </c>
      <c r="I37" s="825">
        <f>H37</f>
        <v>421.58207999999996</v>
      </c>
      <c r="J37" s="264">
        <f t="shared" ref="J37:L37" si="45">I37</f>
        <v>421.58207999999996</v>
      </c>
      <c r="K37" s="215">
        <f t="shared" si="45"/>
        <v>421.58207999999996</v>
      </c>
      <c r="L37" s="215">
        <f t="shared" si="45"/>
        <v>421.58207999999996</v>
      </c>
      <c r="M37" s="215">
        <f>L37</f>
        <v>421.58207999999996</v>
      </c>
      <c r="N37" s="215">
        <f>L37</f>
        <v>421.58207999999996</v>
      </c>
      <c r="O37" s="212"/>
      <c r="P37" s="264">
        <f>IF(SUM(G36:N36)=0,0,SUMPRODUCT(G36:N36,G37:N37)/SUM(G36:N36))</f>
        <v>401.5067428571428</v>
      </c>
      <c r="Q37" s="3"/>
      <c r="R37" s="241"/>
      <c r="S37" s="206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</row>
    <row r="38" spans="2:34" ht="15" thickBot="1" x14ac:dyDescent="0.4">
      <c r="B38" s="303"/>
      <c r="C38" s="307"/>
      <c r="D38" s="243"/>
      <c r="F38" s="830" t="s">
        <v>668</v>
      </c>
      <c r="G38" s="846">
        <f>G36*G37</f>
        <v>3794.2387199999994</v>
      </c>
      <c r="H38" s="846">
        <f>H36*H37</f>
        <v>4215.8207999999995</v>
      </c>
      <c r="I38" s="611">
        <f t="shared" ref="I38:N38" si="46">I36*I37</f>
        <v>421.58207999999996</v>
      </c>
      <c r="J38" s="283">
        <f t="shared" si="46"/>
        <v>0</v>
      </c>
      <c r="K38" s="283">
        <f t="shared" si="46"/>
        <v>0</v>
      </c>
      <c r="L38" s="283">
        <f t="shared" si="46"/>
        <v>0</v>
      </c>
      <c r="M38" s="235">
        <f t="shared" si="46"/>
        <v>0</v>
      </c>
      <c r="N38" s="283">
        <f t="shared" si="46"/>
        <v>0</v>
      </c>
      <c r="O38" s="284">
        <f>SUM(G38:N38)</f>
        <v>8431.641599999999</v>
      </c>
      <c r="P38" s="230"/>
      <c r="Q38" s="230"/>
      <c r="R38" s="268"/>
      <c r="S38" s="206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</row>
    <row r="39" spans="2:34" x14ac:dyDescent="0.35">
      <c r="B39" s="303"/>
      <c r="C39" s="804"/>
      <c r="D39" s="834" t="s">
        <v>280</v>
      </c>
      <c r="E39" s="835">
        <v>4</v>
      </c>
      <c r="F39" s="52"/>
      <c r="G39" s="843" t="s">
        <v>673</v>
      </c>
      <c r="H39" s="844">
        <v>0</v>
      </c>
      <c r="I39" s="324">
        <v>0</v>
      </c>
      <c r="J39" s="324">
        <v>0</v>
      </c>
      <c r="K39" s="324">
        <v>0</v>
      </c>
      <c r="L39" s="324">
        <v>0</v>
      </c>
      <c r="M39" s="324">
        <v>0</v>
      </c>
      <c r="N39" s="324">
        <v>0</v>
      </c>
      <c r="O39" s="239"/>
      <c r="P39" s="446"/>
      <c r="Q39" s="234">
        <f>SUM(G39:N39)</f>
        <v>0</v>
      </c>
      <c r="R39" s="240">
        <f>Q39*F41</f>
        <v>0</v>
      </c>
      <c r="S39" s="206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</row>
    <row r="40" spans="2:34" x14ac:dyDescent="0.35">
      <c r="B40" s="303"/>
      <c r="C40" s="307"/>
      <c r="D40" s="243" t="s">
        <v>671</v>
      </c>
      <c r="E40" s="833"/>
      <c r="F40" s="836"/>
      <c r="G40" s="822"/>
      <c r="H40" s="842">
        <f>IF($F41=0,0,IF($D$3="voraussichtliche Kosten", INDEX(Prof!$C$11:$J$73,$E42,G8-2021), INDEX(Prof!$C$11:$J$73,$E42,1)))+$E$41</f>
        <v>4793.01</v>
      </c>
      <c r="I40" s="842">
        <f>IF($F41=0,0,IF($D$3="voraussichtliche Kosten", INDEX(Prof!$C$11:$J$73,$E42,I8-2021), INDEX(Prof!$C$11:$J$73,$E42,2)))+$E$41</f>
        <v>4927.21</v>
      </c>
      <c r="J40" s="842">
        <f>IF($F41=0,0,IF($D$3="voraussichtliche Kosten", INDEX(Prof!$C$11:$J$73,$E42,J8-2021), INDEX(Prof!$C$11:$J$73,$E42,2)))+$E$41</f>
        <v>4927.21</v>
      </c>
      <c r="K40" s="842">
        <f>IF($F41=0,0,IF($D$3="voraussichtliche Kosten", INDEX(Prof!$C$11:$J$73,$E42,K8-2021), INDEX(Prof!$C$11:$J$73,$E42,2)))+$E$41</f>
        <v>4927.21</v>
      </c>
      <c r="L40" s="842">
        <f>IF($F41=0,0,IF($D$3="voraussichtliche Kosten", INDEX(Prof!$C$11:$J$73,$E42,L8-2021), INDEX(Prof!$C$11:$J$73,$E42,2)))+$E$41</f>
        <v>4927.21</v>
      </c>
      <c r="M40" s="842">
        <f>IF($F41=0,0,IF($D$3="voraussichtliche Kosten", INDEX(Prof!$C$11:$J$73,$E42,M8-2021), INDEX(Prof!$C$11:$J$73,$E42,2)))+$E$41</f>
        <v>4927.21</v>
      </c>
      <c r="N40" s="842">
        <f>IF($F41=0,0,IF($D$3="voraussichtliche Kosten", INDEX(Prof!$C$11:$J$73,$E42,N8-2021), INDEX(Prof!$C$11:$J$73,$E42,2)))+$E$41</f>
        <v>4927.21</v>
      </c>
      <c r="O40" s="214"/>
      <c r="P40" s="264">
        <f>IF(SUM(G39:N39)=0,0,SUMPRODUCT(G39:N39,G40:N40)/SUM(G39:N39))</f>
        <v>0</v>
      </c>
      <c r="Q40" s="3"/>
      <c r="R40" s="241"/>
      <c r="S40" s="206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</row>
    <row r="41" spans="2:34" x14ac:dyDescent="0.35">
      <c r="B41" s="303"/>
      <c r="C41" s="307"/>
      <c r="D41" s="831" t="s">
        <v>672</v>
      </c>
      <c r="E41" s="840">
        <v>0</v>
      </c>
      <c r="F41" s="321">
        <v>0.1</v>
      </c>
      <c r="G41" s="838"/>
      <c r="H41" s="216">
        <f t="shared" ref="H41:N41" si="47">H40*$F41</f>
        <v>479.30100000000004</v>
      </c>
      <c r="I41" s="216">
        <f t="shared" si="47"/>
        <v>492.721</v>
      </c>
      <c r="J41" s="216">
        <f t="shared" si="47"/>
        <v>492.721</v>
      </c>
      <c r="K41" s="216">
        <f t="shared" si="47"/>
        <v>492.721</v>
      </c>
      <c r="L41" s="216">
        <f t="shared" si="47"/>
        <v>492.721</v>
      </c>
      <c r="M41" s="216">
        <f t="shared" si="47"/>
        <v>492.721</v>
      </c>
      <c r="N41" s="216">
        <f t="shared" si="47"/>
        <v>492.721</v>
      </c>
      <c r="O41" s="207"/>
      <c r="P41" s="3"/>
      <c r="Q41" s="3"/>
      <c r="R41" s="241"/>
      <c r="S41" s="206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</row>
    <row r="42" spans="2:34" ht="15" thickBot="1" x14ac:dyDescent="0.4">
      <c r="B42" s="303"/>
      <c r="C42" s="307"/>
      <c r="D42" s="832" t="s">
        <v>159</v>
      </c>
      <c r="E42" s="837">
        <f>IF(D39="W1",1,IF(D39="W2",2,IF(D39="W3",3,IF(E39=0,"Fehler",IF(D39="C1",3+E39,IF(D39="C2",18+E39,IF(D39="C3",33+E39,48+E39)))))))</f>
        <v>1</v>
      </c>
      <c r="F42" s="795" t="s">
        <v>670</v>
      </c>
      <c r="G42" s="839"/>
      <c r="H42" s="235">
        <f>H39*H41</f>
        <v>0</v>
      </c>
      <c r="I42" s="235">
        <f t="shared" ref="I42:N42" si="48">I39*I41</f>
        <v>0</v>
      </c>
      <c r="J42" s="235">
        <f t="shared" si="48"/>
        <v>0</v>
      </c>
      <c r="K42" s="235">
        <f t="shared" si="48"/>
        <v>0</v>
      </c>
      <c r="L42" s="235">
        <f t="shared" si="48"/>
        <v>0</v>
      </c>
      <c r="M42" s="235">
        <f t="shared" si="48"/>
        <v>0</v>
      </c>
      <c r="N42" s="235">
        <f t="shared" si="48"/>
        <v>0</v>
      </c>
      <c r="O42" s="236">
        <f>SUM(G42:N42)</f>
        <v>0</v>
      </c>
      <c r="P42" s="237"/>
      <c r="Q42" s="237"/>
      <c r="R42" s="238"/>
      <c r="S42" s="206"/>
      <c r="U42" s="332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</row>
    <row r="43" spans="2:34" x14ac:dyDescent="0.35">
      <c r="B43" s="303"/>
      <c r="C43" s="305"/>
      <c r="D43" s="288" t="s">
        <v>221</v>
      </c>
      <c r="E43" s="286"/>
      <c r="F43" s="287" t="s">
        <v>222</v>
      </c>
      <c r="G43" s="983">
        <f>SUMIF($F$13:$F$42,"t",G$13:G$42)+SUMIF($F$13:$F$42,"t",H$13:H$42)</f>
        <v>0</v>
      </c>
      <c r="H43" s="984"/>
      <c r="I43" s="812">
        <f>SUMIF($F$13:$F$42,"t",I$13:I$42)</f>
        <v>72912.779296609995</v>
      </c>
      <c r="J43" s="812">
        <f t="shared" ref="J43:N43" si="49">SUMIF($F$13:$F$42,"t",J$13:J$42)</f>
        <v>0</v>
      </c>
      <c r="K43" s="816">
        <f t="shared" si="49"/>
        <v>72912.779296609995</v>
      </c>
      <c r="L43" s="812">
        <f t="shared" si="49"/>
        <v>0</v>
      </c>
      <c r="M43" s="812">
        <f t="shared" si="49"/>
        <v>0</v>
      </c>
      <c r="N43" s="812">
        <f t="shared" si="49"/>
        <v>0</v>
      </c>
      <c r="O43" s="820">
        <f>SUM(G43:N43)</f>
        <v>145825.55859321999</v>
      </c>
      <c r="P43" s="803"/>
      <c r="Q43" s="801"/>
      <c r="R43" s="341">
        <f>SUMIF(F13:F42,"t",R10:R39)</f>
        <v>24</v>
      </c>
      <c r="S43" s="206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</row>
    <row r="44" spans="2:34" x14ac:dyDescent="0.35">
      <c r="B44" s="303"/>
      <c r="C44" s="307"/>
      <c r="D44" s="796"/>
      <c r="E44" s="4"/>
      <c r="F44" s="797" t="s">
        <v>16</v>
      </c>
      <c r="G44" s="979">
        <f>SUMIF($F$13:$F$42,"h",G$13:G$42)+SUMIF($F$13:$F$42,"h",H$13:H$42)</f>
        <v>14415.296588799998</v>
      </c>
      <c r="H44" s="980"/>
      <c r="I44" s="813">
        <f>SUMIF($F$13:$F$42,"h",I$13:I$42)</f>
        <v>758.84774399999992</v>
      </c>
      <c r="J44" s="813">
        <f t="shared" ref="J44:N44" si="50">SUMIF($F$13:$F$42,"h",J$13:J$42)</f>
        <v>0</v>
      </c>
      <c r="K44" s="815">
        <f t="shared" si="50"/>
        <v>0</v>
      </c>
      <c r="L44" s="817">
        <f t="shared" si="50"/>
        <v>0</v>
      </c>
      <c r="M44" s="813">
        <f t="shared" si="50"/>
        <v>0</v>
      </c>
      <c r="N44" s="813">
        <f t="shared" si="50"/>
        <v>0</v>
      </c>
      <c r="O44" s="821">
        <f t="shared" ref="O44:O45" si="51">SUM(G44:N44)</f>
        <v>15174.144332799999</v>
      </c>
      <c r="P44" s="802"/>
      <c r="Q44" s="800"/>
      <c r="R44" s="807">
        <f>SUMIF(F13:F42,"h",R10:R39)</f>
        <v>0</v>
      </c>
      <c r="S44" s="206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</row>
    <row r="45" spans="2:34" ht="15" thickBot="1" x14ac:dyDescent="0.4">
      <c r="B45" s="303"/>
      <c r="C45" s="804"/>
      <c r="D45" s="79"/>
      <c r="E45" s="793"/>
      <c r="F45" s="806" t="s">
        <v>669</v>
      </c>
      <c r="G45" s="981">
        <f>SUMIF($F$13:$F$42,"p",G$13:G$42)+SUMIF($F$13:$F$42,"p",H$13:H$42)</f>
        <v>0</v>
      </c>
      <c r="H45" s="982"/>
      <c r="I45" s="811">
        <f>SUMIF($F$13:$F$42,"p",I$13:I$42)</f>
        <v>0</v>
      </c>
      <c r="J45" s="814">
        <f t="shared" ref="J45:N45" si="52">SUMIF($F$13:$F$42,"p",J$13:J$42)</f>
        <v>0</v>
      </c>
      <c r="K45" s="814">
        <f t="shared" si="52"/>
        <v>0</v>
      </c>
      <c r="L45" s="814">
        <f t="shared" si="52"/>
        <v>0</v>
      </c>
      <c r="M45" s="814">
        <f t="shared" si="52"/>
        <v>0</v>
      </c>
      <c r="N45" s="818">
        <f t="shared" si="52"/>
        <v>0</v>
      </c>
      <c r="O45" s="819">
        <f t="shared" si="51"/>
        <v>0</v>
      </c>
      <c r="P45" s="810"/>
      <c r="Q45" s="809"/>
      <c r="R45" s="808">
        <f>SUMIF(F13:F42,"p",R10:R39)</f>
        <v>0</v>
      </c>
      <c r="S45" s="206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</row>
    <row r="46" spans="2:34" ht="6" customHeight="1" thickBot="1" x14ac:dyDescent="0.4">
      <c r="B46" s="303"/>
      <c r="C46" s="307"/>
      <c r="D46" s="4"/>
      <c r="E46" s="4"/>
      <c r="F46" s="805"/>
      <c r="G46" s="798"/>
      <c r="H46" s="338"/>
      <c r="I46" s="338"/>
      <c r="J46" s="338"/>
      <c r="K46" s="338"/>
      <c r="L46" s="338"/>
      <c r="M46" s="338"/>
      <c r="N46" s="338"/>
      <c r="O46" s="799"/>
      <c r="P46" s="799"/>
      <c r="Q46" s="275"/>
      <c r="R46" s="275"/>
      <c r="S46" s="206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</row>
    <row r="47" spans="2:34" ht="8.5" customHeight="1" thickTop="1" x14ac:dyDescent="0.35">
      <c r="B47" s="301"/>
      <c r="C47" s="302"/>
      <c r="D47" s="211"/>
      <c r="E47" s="211"/>
      <c r="F47" s="278"/>
      <c r="G47" s="340"/>
      <c r="H47" s="340"/>
      <c r="I47" s="340"/>
      <c r="J47" s="340"/>
      <c r="K47" s="340"/>
      <c r="L47" s="340"/>
      <c r="M47" s="340"/>
      <c r="N47" s="340"/>
      <c r="O47" s="277"/>
      <c r="P47" s="277"/>
      <c r="Q47" s="277"/>
      <c r="R47" s="277"/>
      <c r="S47" s="21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</row>
    <row r="48" spans="2:34" x14ac:dyDescent="0.35">
      <c r="B48" s="303"/>
      <c r="C48" s="306" t="s">
        <v>206</v>
      </c>
      <c r="D48" s="4"/>
      <c r="E48" s="4"/>
      <c r="F48" s="225"/>
      <c r="G48" s="959">
        <f>SUM(G43:H45)</f>
        <v>14415.296588799998</v>
      </c>
      <c r="H48" s="960"/>
      <c r="I48" s="280">
        <f t="shared" ref="I48:O48" si="53">SUM(I43:I45)</f>
        <v>73671.627040609994</v>
      </c>
      <c r="J48" s="280">
        <f t="shared" si="53"/>
        <v>0</v>
      </c>
      <c r="K48" s="280">
        <f t="shared" si="53"/>
        <v>72912.779296609995</v>
      </c>
      <c r="L48" s="280">
        <f t="shared" si="53"/>
        <v>0</v>
      </c>
      <c r="M48" s="280">
        <f t="shared" si="53"/>
        <v>0</v>
      </c>
      <c r="N48" s="280">
        <f t="shared" si="53"/>
        <v>0</v>
      </c>
      <c r="O48" s="279">
        <f t="shared" si="53"/>
        <v>160999.70292601999</v>
      </c>
      <c r="P48" s="230"/>
      <c r="Q48" s="230"/>
      <c r="R48" s="281">
        <f>SUM(R43:R45)</f>
        <v>24</v>
      </c>
      <c r="S48" s="206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</row>
    <row r="49" spans="2:34" x14ac:dyDescent="0.35">
      <c r="B49" s="303"/>
      <c r="C49" s="30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  <c r="Q49" s="3"/>
      <c r="R49" s="3"/>
      <c r="S49" s="206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</row>
    <row r="50" spans="2:34" x14ac:dyDescent="0.35">
      <c r="B50" s="303"/>
      <c r="C50" s="306" t="s">
        <v>196</v>
      </c>
      <c r="D50" s="4"/>
      <c r="E50" s="4"/>
      <c r="F50" s="4"/>
      <c r="G50" s="976">
        <v>0</v>
      </c>
      <c r="H50" s="976"/>
      <c r="I50" s="326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217">
        <f>SUM(G50:N50)</f>
        <v>0</v>
      </c>
      <c r="P50" s="230"/>
      <c r="Q50" s="230"/>
      <c r="R50" s="230"/>
      <c r="S50" s="206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</row>
    <row r="51" spans="2:34" x14ac:dyDescent="0.35">
      <c r="B51" s="303"/>
      <c r="C51" s="306" t="s">
        <v>195</v>
      </c>
      <c r="D51" s="4"/>
      <c r="E51" s="635"/>
      <c r="F51" s="4"/>
      <c r="G51" s="976">
        <v>0</v>
      </c>
      <c r="H51" s="976"/>
      <c r="I51" s="326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217">
        <f>SUM(G51:N51)</f>
        <v>0</v>
      </c>
      <c r="P51" s="635" t="str">
        <f>IF(D52="normal", "", "Investitionen: nur Abschreibekosten während Projektlaufzeit förderfähig")</f>
        <v/>
      </c>
      <c r="Q51" s="230"/>
      <c r="R51" s="230"/>
      <c r="S51" s="206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</row>
    <row r="52" spans="2:34" x14ac:dyDescent="0.35">
      <c r="B52" s="303"/>
      <c r="C52" s="306" t="s">
        <v>276</v>
      </c>
      <c r="D52" s="313" t="s">
        <v>278</v>
      </c>
      <c r="E52" s="409" t="str">
        <f>IF(D52="normal", "", "Pauschale nicht für Unteraufträge")</f>
        <v/>
      </c>
      <c r="F52" s="4"/>
      <c r="G52" s="976">
        <v>0</v>
      </c>
      <c r="H52" s="976"/>
      <c r="I52" s="326">
        <v>0</v>
      </c>
      <c r="J52" s="326">
        <v>0</v>
      </c>
      <c r="K52" s="326">
        <v>0</v>
      </c>
      <c r="L52" s="326">
        <v>0</v>
      </c>
      <c r="M52" s="326">
        <v>0</v>
      </c>
      <c r="N52" s="326">
        <v>0</v>
      </c>
      <c r="O52" s="217">
        <f>SUM(G52:N52)</f>
        <v>0</v>
      </c>
      <c r="P52" s="230"/>
      <c r="Q52" s="230"/>
      <c r="R52" s="230"/>
      <c r="S52" s="206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</row>
    <row r="53" spans="2:34" x14ac:dyDescent="0.35">
      <c r="B53" s="303"/>
      <c r="C53" s="30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  <c r="Q53" s="3"/>
      <c r="R53" s="3"/>
      <c r="S53" s="206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</row>
    <row r="54" spans="2:34" x14ac:dyDescent="0.35">
      <c r="B54" s="303"/>
      <c r="C54" s="306" t="s">
        <v>194</v>
      </c>
      <c r="D54" s="4"/>
      <c r="E54" s="4"/>
      <c r="F54" s="4"/>
      <c r="G54" s="977">
        <f>SUM(G48:G53)</f>
        <v>14415.296588799998</v>
      </c>
      <c r="H54" s="978"/>
      <c r="I54" s="218">
        <f t="shared" ref="I54:O54" si="54">SUM(I48:I53)</f>
        <v>73671.627040609994</v>
      </c>
      <c r="J54" s="218">
        <f t="shared" si="54"/>
        <v>0</v>
      </c>
      <c r="K54" s="218">
        <f t="shared" si="54"/>
        <v>72912.779296609995</v>
      </c>
      <c r="L54" s="218">
        <f t="shared" si="54"/>
        <v>0</v>
      </c>
      <c r="M54" s="218">
        <f t="shared" si="54"/>
        <v>0</v>
      </c>
      <c r="N54" s="218">
        <f t="shared" si="54"/>
        <v>0</v>
      </c>
      <c r="O54" s="218">
        <f t="shared" si="54"/>
        <v>160999.70292601999</v>
      </c>
      <c r="P54" s="231"/>
      <c r="Q54" s="231"/>
      <c r="R54" s="231"/>
      <c r="S54" s="206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</row>
    <row r="55" spans="2:34" x14ac:dyDescent="0.35">
      <c r="B55" s="303"/>
      <c r="C55" s="306" t="s">
        <v>193</v>
      </c>
      <c r="D55" s="329">
        <v>0</v>
      </c>
      <c r="E55" s="4" t="s">
        <v>186</v>
      </c>
      <c r="G55" s="4"/>
      <c r="H55" s="4"/>
      <c r="I55" s="4"/>
      <c r="J55" s="4"/>
      <c r="K55" s="4"/>
      <c r="L55" s="4"/>
      <c r="M55" s="4"/>
      <c r="N55" s="4"/>
      <c r="O55" s="219">
        <f>IF(D52="normal",D55*O54,(O48+O50+O51)*D55)</f>
        <v>0</v>
      </c>
      <c r="P55" s="208"/>
      <c r="Q55" s="208"/>
      <c r="R55" s="208"/>
      <c r="S55" s="206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</row>
    <row r="56" spans="2:34" x14ac:dyDescent="0.35">
      <c r="B56" s="303"/>
      <c r="C56" s="306" t="s">
        <v>192</v>
      </c>
      <c r="D56" s="4"/>
      <c r="E56" s="4"/>
      <c r="F56" s="4"/>
      <c r="G56" s="969">
        <f>IF($D$52="normal",G54*(1+$D$55),(G48+G50+G51)*(1+$D$55)+G52)</f>
        <v>14415.296588799998</v>
      </c>
      <c r="H56" s="970"/>
      <c r="I56" s="264">
        <f>IF($D$52="normal",I54*(1+$D$55),(I48+I50+I51)*(1+$D$55)+I52)</f>
        <v>73671.627040609994</v>
      </c>
      <c r="J56" s="264">
        <f t="shared" ref="J56:N56" si="55">IF($D$52="normal",J54*(1+$D$55),(J48+J50+J51)*(1+$D$55)+J52)</f>
        <v>0</v>
      </c>
      <c r="K56" s="264">
        <f t="shared" si="55"/>
        <v>72912.779296609995</v>
      </c>
      <c r="L56" s="264">
        <f t="shared" si="55"/>
        <v>0</v>
      </c>
      <c r="M56" s="264">
        <f t="shared" si="55"/>
        <v>0</v>
      </c>
      <c r="N56" s="264">
        <f t="shared" si="55"/>
        <v>0</v>
      </c>
      <c r="O56" s="263">
        <f>O55+O54</f>
        <v>160999.70292601999</v>
      </c>
      <c r="P56" s="230"/>
      <c r="Q56" s="230"/>
      <c r="R56" s="230"/>
      <c r="S56" s="206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</row>
    <row r="57" spans="2:34" ht="15" thickBot="1" x14ac:dyDescent="0.4">
      <c r="B57" s="308"/>
      <c r="C57" s="309"/>
      <c r="D57" s="205" t="s">
        <v>230</v>
      </c>
      <c r="E57" s="205"/>
      <c r="F57" s="327">
        <v>500000</v>
      </c>
      <c r="G57" s="205"/>
      <c r="H57" s="205"/>
      <c r="I57" s="205"/>
      <c r="J57" s="205"/>
      <c r="K57" s="205"/>
      <c r="L57" s="205"/>
      <c r="M57" s="205"/>
      <c r="N57" s="205"/>
      <c r="O57" s="205"/>
      <c r="P57" s="276"/>
      <c r="Q57" s="276"/>
      <c r="R57" s="276"/>
      <c r="S57" s="204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</row>
    <row r="58" spans="2:34" ht="6.65" customHeight="1" thickTop="1" x14ac:dyDescent="0.35">
      <c r="B58" s="301"/>
      <c r="C58" s="302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32"/>
      <c r="Q58" s="232"/>
      <c r="R58" s="232"/>
      <c r="S58" s="21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</row>
    <row r="59" spans="2:34" x14ac:dyDescent="0.35">
      <c r="B59" s="303"/>
      <c r="C59" s="310" t="s">
        <v>184</v>
      </c>
      <c r="D59" s="1" t="s">
        <v>191</v>
      </c>
      <c r="E59" s="1"/>
      <c r="F59" s="329">
        <v>0</v>
      </c>
      <c r="G59" s="4" t="s">
        <v>186</v>
      </c>
      <c r="H59" s="4"/>
      <c r="I59" s="4" t="s">
        <v>185</v>
      </c>
      <c r="J59" s="4"/>
      <c r="K59" s="4"/>
      <c r="L59" s="4"/>
      <c r="M59" s="4"/>
      <c r="N59" s="4"/>
      <c r="O59" s="217">
        <f>F59*O56</f>
        <v>0</v>
      </c>
      <c r="P59" s="230"/>
      <c r="Q59" s="208"/>
      <c r="R59" s="208"/>
      <c r="S59" s="206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</row>
    <row r="60" spans="2:34" x14ac:dyDescent="0.35">
      <c r="B60" s="303"/>
      <c r="C60" s="310"/>
      <c r="D60" s="1"/>
      <c r="E60" s="1"/>
      <c r="F60" s="228">
        <f>F59</f>
        <v>0</v>
      </c>
      <c r="G60" s="4" t="s">
        <v>190</v>
      </c>
      <c r="H60" s="4"/>
      <c r="I60" s="4" t="s">
        <v>189</v>
      </c>
      <c r="J60" s="4"/>
      <c r="K60" s="4"/>
      <c r="L60" s="4"/>
      <c r="M60" s="4"/>
      <c r="N60" s="4"/>
      <c r="O60" s="217">
        <f>F60*O54</f>
        <v>0</v>
      </c>
      <c r="P60" s="230"/>
      <c r="Q60" s="208"/>
      <c r="R60" s="208"/>
      <c r="S60" s="206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</row>
    <row r="61" spans="2:34" x14ac:dyDescent="0.35">
      <c r="B61" s="303"/>
      <c r="C61" s="307"/>
      <c r="F61" s="228">
        <f>F59</f>
        <v>0</v>
      </c>
      <c r="G61" s="4" t="s">
        <v>188</v>
      </c>
      <c r="H61" s="4"/>
      <c r="I61" s="4" t="s">
        <v>187</v>
      </c>
      <c r="J61" s="4"/>
      <c r="K61" s="4"/>
      <c r="L61" s="4"/>
      <c r="M61" s="4"/>
      <c r="N61" s="4"/>
      <c r="O61" s="217">
        <f>F61*O55</f>
        <v>0</v>
      </c>
      <c r="P61" s="230"/>
      <c r="Q61" s="208"/>
      <c r="R61" s="208"/>
      <c r="S61" s="206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</row>
    <row r="62" spans="2:34" x14ac:dyDescent="0.35">
      <c r="B62" s="303"/>
      <c r="C62" s="307"/>
      <c r="F62" s="209"/>
      <c r="G62" s="4"/>
      <c r="H62" s="4"/>
      <c r="I62" s="4"/>
      <c r="J62" s="4"/>
      <c r="K62" s="4"/>
      <c r="L62" s="4"/>
      <c r="M62" s="4"/>
      <c r="N62" s="4"/>
      <c r="O62" s="208"/>
      <c r="P62" s="208"/>
      <c r="Q62" s="208"/>
      <c r="R62" s="208"/>
      <c r="S62" s="206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</row>
    <row r="63" spans="2:34" x14ac:dyDescent="0.35">
      <c r="B63" s="303"/>
      <c r="C63" s="306" t="s">
        <v>184</v>
      </c>
      <c r="D63" s="1" t="s">
        <v>183</v>
      </c>
      <c r="E63" s="1" t="s">
        <v>201</v>
      </c>
      <c r="F63" s="328" t="s">
        <v>210</v>
      </c>
      <c r="G63" s="291">
        <f t="shared" ref="G63:N63" si="56">ROUND(IF($F$63="nein",0,IF(G8&lt;=$D$64,0,IF($D$3="voraussichtliche Kosten",G43-G43/(1+$E$64)^(G8-$D$64),G43*(1+$E$64)^(G8-$D$64)-G43))),-2)</f>
        <v>0</v>
      </c>
      <c r="H63" s="291">
        <f t="shared" si="56"/>
        <v>0</v>
      </c>
      <c r="I63" s="291">
        <f t="shared" si="56"/>
        <v>0</v>
      </c>
      <c r="J63" s="291">
        <f t="shared" si="56"/>
        <v>0</v>
      </c>
      <c r="K63" s="291">
        <f t="shared" si="56"/>
        <v>3400</v>
      </c>
      <c r="L63" s="291">
        <f t="shared" si="56"/>
        <v>0</v>
      </c>
      <c r="M63" s="291">
        <f t="shared" si="56"/>
        <v>0</v>
      </c>
      <c r="N63" s="291">
        <f t="shared" si="56"/>
        <v>0</v>
      </c>
      <c r="O63" s="217">
        <f>SUM(G63:N63)</f>
        <v>3400</v>
      </c>
      <c r="P63" s="230"/>
      <c r="Q63" s="208"/>
      <c r="R63" s="208"/>
      <c r="S63" s="206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</row>
    <row r="64" spans="2:34" x14ac:dyDescent="0.35">
      <c r="B64" s="303"/>
      <c r="C64" s="306" t="s">
        <v>223</v>
      </c>
      <c r="D64" s="274">
        <f>'Infos FoFö'!B77</f>
        <v>2023</v>
      </c>
      <c r="E64" s="289">
        <f>'Infos FoFö'!C78</f>
        <v>2.3E-2</v>
      </c>
      <c r="F64" s="961" t="str">
        <f>IF(F63="nein","",IF(D3="reale Kosten","Diese Kosten sind bei einem BMBF-/BMWi-Vollantrag nicht beantragbar! Die beantragbare Summe reduziert sich ggf.","Aufgrund von nicht feststehenden Tarifen können zusätzliche Kosten in dieser Größenordnung entstehen"))</f>
        <v>Aufgrund von nicht feststehenden Tarifen können zusätzliche Kosten in dieser Größenordnung entstehen</v>
      </c>
      <c r="G64" s="962"/>
      <c r="H64" s="962"/>
      <c r="I64" s="962"/>
      <c r="J64" s="962"/>
      <c r="K64" s="962"/>
      <c r="L64" s="962"/>
      <c r="M64" s="963"/>
      <c r="N64" s="229"/>
      <c r="O64" s="229"/>
      <c r="P64" s="3"/>
      <c r="Q64" s="230"/>
      <c r="R64" s="230"/>
      <c r="S64" s="206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</row>
    <row r="65" spans="2:34" x14ac:dyDescent="0.35">
      <c r="B65" s="303"/>
      <c r="C65" s="305"/>
      <c r="P65" s="447"/>
      <c r="Q65" s="230"/>
      <c r="R65" s="230"/>
      <c r="S65" s="206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</row>
    <row r="66" spans="2:34" x14ac:dyDescent="0.35">
      <c r="B66" s="303"/>
      <c r="C66" s="306" t="s">
        <v>184</v>
      </c>
      <c r="D66" s="1" t="s">
        <v>183</v>
      </c>
      <c r="E66" s="1" t="s">
        <v>212</v>
      </c>
      <c r="F66" s="964" t="str">
        <f>IF(D3="voraussichtliche Kosten", "keine Berechnung bei voraussichtlichen Kosten", "Es muss Reserve sichergestellt sein, falls Stufe-3-Personal-eingestellt wird.")</f>
        <v>Es muss Reserve sichergestellt sein, falls Stufe-3-Personal-eingestellt wird.</v>
      </c>
      <c r="G66" s="965"/>
      <c r="H66" s="965"/>
      <c r="I66" s="965"/>
      <c r="J66" s="965"/>
      <c r="K66" s="966"/>
      <c r="O66" s="220">
        <f>SUM(O67:O71)</f>
        <v>7800</v>
      </c>
      <c r="P66" s="230"/>
      <c r="Q66" s="208"/>
      <c r="R66" s="208"/>
      <c r="S66" s="206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</row>
    <row r="67" spans="2:34" x14ac:dyDescent="0.35">
      <c r="B67" s="303"/>
      <c r="C67" s="311"/>
      <c r="D67" s="299"/>
      <c r="E67" s="4"/>
      <c r="F67" s="21" t="str">
        <f>CONCATENATE(D14," ",E14,", TV-L ",D13," Stufe ",E13)</f>
        <v>NN , TV-L E 13 Stufe 2</v>
      </c>
      <c r="G67" s="841">
        <f>ROUND(IF($D$3="voraussichtliche Kosten",0,IF($D14&lt;&gt;"NN",0,IF($E13&gt;=3,0,IF($E13=2,INDEX(Tabelle!$A$4:$S$118,$E16,19)*G16,(INDEX(Tabelle!$A$4:$S$118,$E16,19)+1)*(INDEX(Tabelle!$A$4:$S$118,$E16-1,19)+1)*G16-G16)))),-2)</f>
        <v>0</v>
      </c>
      <c r="H67" s="841">
        <f>ROUND(IF($D$3="voraussichtliche Kosten",0,IF($D14&lt;&gt;"NN",0,IF($E13&gt;=3,0,IF($E13=2,INDEX(Tabelle!$A$4:$S$118,$E16,19)*H16,(INDEX(Tabelle!$A$4:$S$118,$E16,19)+1)*(INDEX(Tabelle!$A$4:$S$118,$E16-1,19)+1)*H16-H16)))),-2)</f>
        <v>0</v>
      </c>
      <c r="I67" s="841">
        <f>ROUND(IF($D$3="voraussichtliche Kosten",0,IF($D14&lt;&gt;"NN",0,IF($E13&gt;=3,0,IF($E13=2,INDEX(Tabelle!$A$4:$S$118,$E16,19)*I16,(INDEX(Tabelle!$A$4:$S$118,$E16,19)+1)*(INDEX(Tabelle!$A$4:$S$118,$E16-1,19)+1)*I16-I16)))),-2)</f>
        <v>3900</v>
      </c>
      <c r="J67" s="841">
        <f>ROUND(IF($D$3="voraussichtliche Kosten",0,IF($D14&lt;&gt;"NN",0,IF($E13&gt;=3,0,IF($E13=2,INDEX(Tabelle!$A$4:$S$118,$E16,19)*J16,(INDEX(Tabelle!$A$4:$S$118,$E16,19)+1)*(INDEX(Tabelle!$A$4:$S$118,$E16-1,19)+1)*J16-J16)))),-2)</f>
        <v>0</v>
      </c>
      <c r="K67" s="841">
        <f>ROUND(IF($D$3="voraussichtliche Kosten",0,IF($D14&lt;&gt;"NN",0,IF($E13&gt;=3,0,IF($E13=2,INDEX(Tabelle!$A$4:$S$118,$E16,19)*K16,(INDEX(Tabelle!$A$4:$S$118,$E16,19)+1)*(INDEX(Tabelle!$A$4:$S$118,$E16-1,19)+1)*K16-K16)))),-2)</f>
        <v>3900</v>
      </c>
      <c r="L67" s="300">
        <f>ROUND(IF($D$3="voraussichtliche Kosten",0,IF($D14&lt;&gt;"NN",0,IF($E13&gt;=3,0,IF($E13=2,INDEX(Tabelle!$A$4:$S$118,$E16,19)*L16,(INDEX(Tabelle!$A$4:$S$118,$E16,19)+1)*(INDEX(Tabelle!$A$4:$S$118,$E16-1,19)+1)*L16-L16)))),-2)</f>
        <v>0</v>
      </c>
      <c r="M67" s="300">
        <f>ROUND(IF($D$3="voraussichtliche Kosten",0,IF($D14&lt;&gt;"NN",0,IF($E13&gt;=3,0,IF($E13=2,INDEX(Tabelle!$A$4:$S$118,$E16,19)*M16,(INDEX(Tabelle!$A$4:$S$118,$E16,19)+1)*(INDEX(Tabelle!$A$4:$S$118,$E16-1,19)+1)*M16-M16)))),-2)</f>
        <v>0</v>
      </c>
      <c r="N67" s="300">
        <f>ROUND(IF($D$3="voraussichtliche Kosten",0,IF($D14&lt;&gt;"NN",0,IF($E13&gt;=3,0,IF($E13=2,INDEX(Tabelle!$A$4:$S$118,$E16,19)*N16,(INDEX(Tabelle!$A$4:$S$118,$E16,19)+1)*(INDEX(Tabelle!$A$4:$S$118,$E16-1,19)+1)*N16-N16)))),-2)</f>
        <v>0</v>
      </c>
      <c r="O67" s="285">
        <f>SUM(G67:N67)</f>
        <v>7800</v>
      </c>
      <c r="P67" s="350"/>
      <c r="Q67" s="208"/>
      <c r="R67" s="208"/>
      <c r="S67" s="206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</row>
    <row r="68" spans="2:34" x14ac:dyDescent="0.35">
      <c r="B68" s="303"/>
      <c r="C68" s="311"/>
      <c r="D68" s="299"/>
      <c r="E68" s="4"/>
      <c r="F68" s="21" t="str">
        <f>CONCATENATE(D18," ",E18,", TV-L ",D17," Stufe ",E17)</f>
        <v>NN , TV-L E 13 Stufe 2</v>
      </c>
      <c r="G68" s="300">
        <f>ROUND(IF($D$3="voraussichtliche Kosten",0,IF($D18&lt;&gt;"NN",0,IF($E17&gt;=3,0,IF($E17=2,INDEX(Tabelle!$A$4:$S$118,$E20,19)*G20,(INDEX(Tabelle!$A$4:$S$118,$E20,19)+1)*(INDEX(Tabelle!$A$4:$S$118,$E20-1,19)+1)*G20-G20)))),-2)</f>
        <v>0</v>
      </c>
      <c r="H68" s="300">
        <f>ROUND(IF($D$3="voraussichtliche Kosten",0,IF($D18&lt;&gt;"NN",0,IF($E17&gt;=3,0,IF($E17=2,INDEX(Tabelle!$A$4:$S$118,$E20,19)*H20,(INDEX(Tabelle!$A$4:$S$118,$E20,19)+1)*(INDEX(Tabelle!$A$4:$S$118,$E20-1,19)+1)*H20-H20)))),-2)</f>
        <v>0</v>
      </c>
      <c r="I68" s="300">
        <f>ROUND(IF($D$3="voraussichtliche Kosten",0,IF($D18&lt;&gt;"NN",0,IF($E17&gt;=3,0,IF($E17=2,INDEX(Tabelle!$A$4:$S$118,$E20,19)*I20,(INDEX(Tabelle!$A$4:$S$118,$E20,19)+1)*(INDEX(Tabelle!$A$4:$S$118,$E20-1,19)+1)*I20-I20)))),-2)</f>
        <v>0</v>
      </c>
      <c r="J68" s="300">
        <f>ROUND(IF($D$3="voraussichtliche Kosten",0,IF($D18&lt;&gt;"NN",0,IF($E17&gt;=3,0,IF($E17=2,INDEX(Tabelle!$A$4:$S$118,$E20,19)*J20,(INDEX(Tabelle!$A$4:$S$118,$E20,19)+1)*(INDEX(Tabelle!$A$4:$S$118,$E20-1,19)+1)*J20-J20)))),-2)</f>
        <v>0</v>
      </c>
      <c r="K68" s="300">
        <f>ROUND(IF($D$3="voraussichtliche Kosten",0,IF($D18&lt;&gt;"NN",0,IF($E17&gt;=3,0,IF($E17=2,INDEX(Tabelle!$A$4:$S$118,$E20,19)*K20,(INDEX(Tabelle!$A$4:$S$118,$E20,19)+1)*(INDEX(Tabelle!$A$4:$S$118,$E20-1,19)+1)*K20-K20)))),-2)</f>
        <v>0</v>
      </c>
      <c r="L68" s="300">
        <f>ROUND(IF($D$3="voraussichtliche Kosten",0,IF($D18&lt;&gt;"NN",0,IF($E17&gt;=3,0,IF($E17=2,INDEX(Tabelle!$A$4:$S$118,$E20,19)*L20,(INDEX(Tabelle!$A$4:$S$118,$E20,19)+1)*(INDEX(Tabelle!$A$4:$S$118,$E20-1,19)+1)*L20-L20)))),-2)</f>
        <v>0</v>
      </c>
      <c r="M68" s="300">
        <f>ROUND(IF($D$3="voraussichtliche Kosten",0,IF($D18&lt;&gt;"NN",0,IF($E17&gt;=3,0,IF($E17=2,INDEX(Tabelle!$A$4:$S$118,$E20,19)*M20,(INDEX(Tabelle!$A$4:$S$118,$E20,19)+1)*(INDEX(Tabelle!$A$4:$S$118,$E20-1,19)+1)*M20-M20)))),-2)</f>
        <v>0</v>
      </c>
      <c r="N68" s="300">
        <f>ROUND(IF($D$3="voraussichtliche Kosten",0,IF($D18&lt;&gt;"NN",0,IF($E17&gt;=3,0,IF($E17=2,INDEX(Tabelle!$A$4:$S$118,$E20,19)*N20,(INDEX(Tabelle!$A$4:$S$118,$E20,19)+1)*(INDEX(Tabelle!$A$4:$S$118,$E20-1,19)+1)*N20-N20)))),-2)</f>
        <v>0</v>
      </c>
      <c r="O68" s="285">
        <f t="shared" ref="O68:O71" si="57">SUM(G68:N68)</f>
        <v>0</v>
      </c>
      <c r="P68" s="350"/>
      <c r="Q68" s="208"/>
      <c r="R68" s="208"/>
      <c r="S68" s="206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</row>
    <row r="69" spans="2:34" x14ac:dyDescent="0.35">
      <c r="B69" s="303"/>
      <c r="C69" s="311"/>
      <c r="D69" s="299"/>
      <c r="E69" s="4"/>
      <c r="F69" s="21" t="str">
        <f>CONCATENATE(D22," ",E22,", TV-L ",D21," Stufe ",E21)</f>
        <v>NN , TV-L E 13 Stufe 2</v>
      </c>
      <c r="G69" s="300">
        <f>ROUND(IF($D$3="voraussichtliche Kosten",0,IF($D22&lt;&gt;"NN",0,IF($E21&gt;=3,0,IF($E21=2,INDEX(Tabelle!$A$4:$S$118,$E24,19)*G24,(INDEX(Tabelle!$A$4:$S$118,$E24,19)+1)*(INDEX(Tabelle!$A$4:$S$118,$E24-1,19)+1)*G24-G24)))),-2)</f>
        <v>0</v>
      </c>
      <c r="H69" s="300">
        <f>ROUND(IF($D$3="voraussichtliche Kosten",0,IF($D22&lt;&gt;"NN",0,IF($E21&gt;=3,0,IF($E21=2,INDEX(Tabelle!$A$4:$S$118,$E24,19)*H24,(INDEX(Tabelle!$A$4:$S$118,$E24,19)+1)*(INDEX(Tabelle!$A$4:$S$118,$E24-1,19)+1)*H24-H24)))),-2)</f>
        <v>0</v>
      </c>
      <c r="I69" s="300">
        <f>ROUND(IF($D$3="voraussichtliche Kosten",0,IF($D22&lt;&gt;"NN",0,IF($E21&gt;=3,0,IF($E21=2,INDEX(Tabelle!$A$4:$S$118,$E24,19)*I24,(INDEX(Tabelle!$A$4:$S$118,$E24,19)+1)*(INDEX(Tabelle!$A$4:$S$118,$E24-1,19)+1)*I24-I24)))),-2)</f>
        <v>0</v>
      </c>
      <c r="J69" s="300">
        <f>ROUND(IF($D$3="voraussichtliche Kosten",0,IF($D22&lt;&gt;"NN",0,IF($E21&gt;=3,0,IF($E21=2,INDEX(Tabelle!$A$4:$S$118,$E24,19)*J24,(INDEX(Tabelle!$A$4:$S$118,$E24,19)+1)*(INDEX(Tabelle!$A$4:$S$118,$E24-1,19)+1)*J24-J24)))),-2)</f>
        <v>0</v>
      </c>
      <c r="K69" s="300">
        <f>ROUND(IF($D$3="voraussichtliche Kosten",0,IF($D22&lt;&gt;"NN",0,IF($E21&gt;=3,0,IF($E21=2,INDEX(Tabelle!$A$4:$S$118,$E24,19)*K24,(INDEX(Tabelle!$A$4:$S$118,$E24,19)+1)*(INDEX(Tabelle!$A$4:$S$118,$E24-1,19)+1)*K24-K24)))),-2)</f>
        <v>0</v>
      </c>
      <c r="L69" s="300">
        <f>ROUND(IF($D$3="voraussichtliche Kosten",0,IF($D22&lt;&gt;"NN",0,IF($E21&gt;=3,0,IF($E21=2,INDEX(Tabelle!$A$4:$S$118,$E24,19)*L24,(INDEX(Tabelle!$A$4:$S$118,$E24,19)+1)*(INDEX(Tabelle!$A$4:$S$118,$E24-1,19)+1)*L24-L24)))),-2)</f>
        <v>0</v>
      </c>
      <c r="M69" s="300">
        <f>ROUND(IF($D$3="voraussichtliche Kosten",0,IF($D22&lt;&gt;"NN",0,IF($E21&gt;=3,0,IF($E21=2,INDEX(Tabelle!$A$4:$S$118,$E24,19)*M24,(INDEX(Tabelle!$A$4:$S$118,$E24,19)+1)*(INDEX(Tabelle!$A$4:$S$118,$E24-1,19)+1)*M24-M24)))),-2)</f>
        <v>0</v>
      </c>
      <c r="N69" s="300">
        <f>ROUND(IF($D$3="voraussichtliche Kosten",0,IF($D22&lt;&gt;"NN",0,IF($E21&gt;=3,0,IF($E21=2,INDEX(Tabelle!$A$4:$S$118,$E24,19)*N24,(INDEX(Tabelle!$A$4:$S$118,$E24,19)+1)*(INDEX(Tabelle!$A$4:$S$118,$E24-1,19)+1)*N24-N24)))),-2)</f>
        <v>0</v>
      </c>
      <c r="O69" s="285">
        <f t="shared" si="57"/>
        <v>0</v>
      </c>
      <c r="P69" s="350"/>
      <c r="Q69" s="208"/>
      <c r="R69" s="208"/>
      <c r="S69" s="206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</row>
    <row r="70" spans="2:34" x14ac:dyDescent="0.35">
      <c r="B70" s="303"/>
      <c r="C70" s="311"/>
      <c r="D70" s="299"/>
      <c r="E70" s="4"/>
      <c r="F70" s="21" t="str">
        <f>CONCATENATE(D26," ",E26,", TV-L ",D25," Stufe ",E25)</f>
        <v>NN , TV-L E 13 Stufe 2</v>
      </c>
      <c r="G70" s="300">
        <f>ROUND(IF($D$3="voraussichtliche Kosten",0,IF($D26&lt;&gt;"NN",0,IF($E25&gt;=3,0,IF($E25=2,INDEX(Tabelle!$A$4:$S$118,$E28,19)*G28,(INDEX(Tabelle!$A$4:$S$118,$E28,19)+1)*(INDEX(Tabelle!$A$4:$S$118,$E28-1,19)+1)*G28-G28)))),-2)</f>
        <v>0</v>
      </c>
      <c r="H70" s="300">
        <f>ROUND(IF($D$3="voraussichtliche Kosten",0,IF($D26&lt;&gt;"NN",0,IF($E25&gt;=3,0,IF($E25=2,INDEX(Tabelle!$A$4:$S$118,$E28,19)*H28,(INDEX(Tabelle!$A$4:$S$118,$E28,19)+1)*(INDEX(Tabelle!$A$4:$S$118,$E28-1,19)+1)*H28-H28)))),-2)</f>
        <v>0</v>
      </c>
      <c r="I70" s="300">
        <f>ROUND(IF($D$3="voraussichtliche Kosten",0,IF($D26&lt;&gt;"NN",0,IF($E25&gt;=3,0,IF($E25=2,INDEX(Tabelle!$A$4:$S$118,$E28,19)*I28,(INDEX(Tabelle!$A$4:$S$118,$E28,19)+1)*(INDEX(Tabelle!$A$4:$S$118,$E28-1,19)+1)*I28-I28)))),-2)</f>
        <v>0</v>
      </c>
      <c r="J70" s="300">
        <f>ROUND(IF($D$3="voraussichtliche Kosten",0,IF($D26&lt;&gt;"NN",0,IF($E25&gt;=3,0,IF($E25=2,INDEX(Tabelle!$A$4:$S$118,$E28,19)*J28,(INDEX(Tabelle!$A$4:$S$118,$E28,19)+1)*(INDEX(Tabelle!$A$4:$S$118,$E28-1,19)+1)*J28-J28)))),-2)</f>
        <v>0</v>
      </c>
      <c r="K70" s="300">
        <f>ROUND(IF($D$3="voraussichtliche Kosten",0,IF($D26&lt;&gt;"NN",0,IF($E25&gt;=3,0,IF($E25=2,INDEX(Tabelle!$A$4:$S$118,$E28,19)*K28,(INDEX(Tabelle!$A$4:$S$118,$E28,19)+1)*(INDEX(Tabelle!$A$4:$S$118,$E28-1,19)+1)*K28-K28)))),-2)</f>
        <v>0</v>
      </c>
      <c r="L70" s="300">
        <f>ROUND(IF($D$3="voraussichtliche Kosten",0,IF($D26&lt;&gt;"NN",0,IF($E25&gt;=3,0,IF($E25=2,INDEX(Tabelle!$A$4:$S$118,$E28,19)*L28,(INDEX(Tabelle!$A$4:$S$118,$E28,19)+1)*(INDEX(Tabelle!$A$4:$S$118,$E28-1,19)+1)*L28-L28)))),-2)</f>
        <v>0</v>
      </c>
      <c r="M70" s="300">
        <f>ROUND(IF($D$3="voraussichtliche Kosten",0,IF($D26&lt;&gt;"NN",0,IF($E25&gt;=3,0,IF($E25=2,INDEX(Tabelle!$A$4:$S$118,$E28,19)*M28,(INDEX(Tabelle!$A$4:$S$118,$E28,19)+1)*(INDEX(Tabelle!$A$4:$S$118,$E28-1,19)+1)*M28-M28)))),-2)</f>
        <v>0</v>
      </c>
      <c r="N70" s="300">
        <f>ROUND(IF($D$3="voraussichtliche Kosten",0,IF($D26&lt;&gt;"NN",0,IF($E25&gt;=3,0,IF($E25=2,INDEX(Tabelle!$A$4:$S$118,$E28,19)*N28,(INDEX(Tabelle!$A$4:$S$118,$E28,19)+1)*(INDEX(Tabelle!$A$4:$S$118,$E28-1,19)+1)*N28-N28)))),-2)</f>
        <v>0</v>
      </c>
      <c r="O70" s="285">
        <f t="shared" si="57"/>
        <v>0</v>
      </c>
      <c r="P70" s="350"/>
      <c r="Q70" s="208"/>
      <c r="R70" s="208"/>
      <c r="S70" s="206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</row>
    <row r="71" spans="2:34" x14ac:dyDescent="0.35">
      <c r="B71" s="303"/>
      <c r="C71" s="311"/>
      <c r="D71" s="299"/>
      <c r="E71" s="4"/>
      <c r="F71" s="21" t="str">
        <f>CONCATENATE(D30," ",E30,", TV-L ",D29," Stufe ",E29)</f>
        <v>NN , TV-L E 13 Stufe 2</v>
      </c>
      <c r="G71" s="300">
        <f>ROUND(IF($D$3="voraussichtliche Kosten",0,IF($D30&lt;&gt;"NN",0,IF($E29&gt;=3,0,IF($E29=2,INDEX(Tabelle!$A$4:$S$118,$E32,19)*G32,(INDEX(Tabelle!$A$4:$S$118,$E32,19)+1)*(INDEX(Tabelle!$A$4:$S$118,$E32-1,19)+1)*G32-G32)))),-2)</f>
        <v>0</v>
      </c>
      <c r="H71" s="300">
        <f>ROUND(IF($D$3="voraussichtliche Kosten",0,IF($D30&lt;&gt;"NN",0,IF($E29&gt;=3,0,IF($E29=2,INDEX(Tabelle!$A$4:$S$118,$E32,19)*H32,(INDEX(Tabelle!$A$4:$S$118,$E32,19)+1)*(INDEX(Tabelle!$A$4:$S$118,$E32-1,19)+1)*H32-H32)))),-2)</f>
        <v>0</v>
      </c>
      <c r="I71" s="300">
        <f>ROUND(IF($D$3="voraussichtliche Kosten",0,IF($D30&lt;&gt;"NN",0,IF($E29&gt;=3,0,IF($E29=2,INDEX(Tabelle!$A$4:$S$118,$E32,19)*I32,(INDEX(Tabelle!$A$4:$S$118,$E32,19)+1)*(INDEX(Tabelle!$A$4:$S$118,$E32-1,19)+1)*I32-I32)))),-2)</f>
        <v>0</v>
      </c>
      <c r="J71" s="300">
        <f>ROUND(IF($D$3="voraussichtliche Kosten",0,IF($D30&lt;&gt;"NN",0,IF($E29&gt;=3,0,IF($E29=2,INDEX(Tabelle!$A$4:$S$118,$E32,19)*J32,(INDEX(Tabelle!$A$4:$S$118,$E32,19)+1)*(INDEX(Tabelle!$A$4:$S$118,$E32-1,19)+1)*J32-J32)))),-2)</f>
        <v>0</v>
      </c>
      <c r="K71" s="300">
        <f>ROUND(IF($D$3="voraussichtliche Kosten",0,IF($D30&lt;&gt;"NN",0,IF($E29&gt;=3,0,IF($E29=2,INDEX(Tabelle!$A$4:$S$118,$E32,19)*K32,(INDEX(Tabelle!$A$4:$S$118,$E32,19)+1)*(INDEX(Tabelle!$A$4:$S$118,$E32-1,19)+1)*K32-K32)))),-2)</f>
        <v>0</v>
      </c>
      <c r="L71" s="300">
        <f>ROUND(IF($D$3="voraussichtliche Kosten",0,IF($D30&lt;&gt;"NN",0,IF($E29&gt;=3,0,IF($E29=2,INDEX(Tabelle!$A$4:$S$118,$E32,19)*L32,(INDEX(Tabelle!$A$4:$S$118,$E32,19)+1)*(INDEX(Tabelle!$A$4:$S$118,$E32-1,19)+1)*L32-L32)))),-2)</f>
        <v>0</v>
      </c>
      <c r="M71" s="300">
        <f>ROUND(IF($D$3="voraussichtliche Kosten",0,IF($D30&lt;&gt;"NN",0,IF($E29&gt;=3,0,IF($E29=2,INDEX(Tabelle!$A$4:$S$118,$E32,19)*M32,(INDEX(Tabelle!$A$4:$S$118,$E32,19)+1)*(INDEX(Tabelle!$A$4:$S$118,$E32-1,19)+1)*M32-M32)))),-2)</f>
        <v>0</v>
      </c>
      <c r="N71" s="300">
        <f>ROUND(IF($D$3="voraussichtliche Kosten",0,IF($D30&lt;&gt;"NN",0,IF($E29&gt;=3,0,IF($E29=2,INDEX(Tabelle!$A$4:$S$118,$E32,19)*N32,(INDEX(Tabelle!$A$4:$S$118,$E32,19)+1)*(INDEX(Tabelle!$A$4:$S$118,$E32-1,19)+1)*N32-N32)))),-2)</f>
        <v>0</v>
      </c>
      <c r="O71" s="285">
        <f t="shared" si="57"/>
        <v>0</v>
      </c>
      <c r="P71" s="350"/>
      <c r="Q71" s="208"/>
      <c r="R71" s="208"/>
      <c r="S71" s="206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</row>
    <row r="72" spans="2:34" x14ac:dyDescent="0.35">
      <c r="B72" s="303"/>
      <c r="C72" s="307"/>
      <c r="D72" s="4"/>
      <c r="E72" s="4"/>
      <c r="F72" s="207"/>
      <c r="G72" s="4"/>
      <c r="H72" s="4"/>
      <c r="I72" s="4"/>
      <c r="J72" s="4"/>
      <c r="K72" s="4"/>
      <c r="L72" s="4"/>
      <c r="M72" s="4"/>
      <c r="N72" s="4"/>
      <c r="O72" s="207"/>
      <c r="P72" s="3"/>
      <c r="Q72" s="3"/>
      <c r="R72" s="3"/>
      <c r="S72" s="206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</row>
    <row r="73" spans="2:34" x14ac:dyDescent="0.35">
      <c r="B73" s="303"/>
      <c r="C73" s="306" t="s">
        <v>182</v>
      </c>
      <c r="D73" s="4"/>
      <c r="E73" s="4"/>
      <c r="F73" s="227">
        <f>1-F59</f>
        <v>1</v>
      </c>
      <c r="G73" s="4"/>
      <c r="H73" s="4"/>
      <c r="I73" s="4"/>
      <c r="J73" s="4"/>
      <c r="K73" s="4"/>
      <c r="L73" s="4"/>
      <c r="M73" s="4"/>
      <c r="N73" s="4"/>
      <c r="O73" s="222">
        <f>F73*O55</f>
        <v>0</v>
      </c>
      <c r="P73" s="208"/>
      <c r="Q73" s="208"/>
      <c r="R73" s="208"/>
      <c r="S73" s="206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</row>
    <row r="74" spans="2:34" x14ac:dyDescent="0.35">
      <c r="B74" s="303"/>
      <c r="C74" s="307" t="s">
        <v>181</v>
      </c>
      <c r="D74" s="4"/>
      <c r="E74" s="4"/>
      <c r="F74" s="4"/>
      <c r="G74" s="254">
        <f>'Infos FoFö'!C148</f>
        <v>0.7</v>
      </c>
      <c r="H74" s="4" t="s">
        <v>180</v>
      </c>
      <c r="I74" s="4"/>
      <c r="J74" s="4"/>
      <c r="K74" s="4"/>
      <c r="L74" s="4"/>
      <c r="M74" s="4"/>
      <c r="N74" s="4"/>
      <c r="O74" s="221">
        <f>O73*G74</f>
        <v>0</v>
      </c>
      <c r="P74" s="208"/>
      <c r="Q74" s="208"/>
      <c r="R74" s="208"/>
      <c r="S74" s="206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</row>
    <row r="75" spans="2:34" x14ac:dyDescent="0.35">
      <c r="B75" s="303"/>
      <c r="C75" s="307"/>
      <c r="D75" s="4"/>
      <c r="E75" s="4"/>
      <c r="F75" s="4"/>
      <c r="G75" s="226">
        <f>1-G74</f>
        <v>0.30000000000000004</v>
      </c>
      <c r="H75" s="4" t="s">
        <v>179</v>
      </c>
      <c r="I75" s="4"/>
      <c r="J75" s="4"/>
      <c r="K75" s="4"/>
      <c r="L75" s="4"/>
      <c r="M75" s="4"/>
      <c r="N75" s="4"/>
      <c r="O75" s="221">
        <f>O73*G75</f>
        <v>0</v>
      </c>
      <c r="P75" s="208"/>
      <c r="Q75" s="208"/>
      <c r="R75" s="208"/>
      <c r="S75" s="206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</row>
    <row r="76" spans="2:34" x14ac:dyDescent="0.35">
      <c r="B76" s="303"/>
      <c r="C76" s="30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"/>
      <c r="Q76" s="3"/>
      <c r="R76" s="3"/>
      <c r="S76" s="206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</row>
    <row r="77" spans="2:34" x14ac:dyDescent="0.35">
      <c r="B77" s="303"/>
      <c r="C77" s="306" t="s">
        <v>614</v>
      </c>
      <c r="D77" s="4"/>
      <c r="E77" s="939" t="str">
        <f>IF(O59+O63+O66=0,"Es liegt kein verbindlicher/versteckter Eigenanteil vor.",IF(D55=0,CONCATENATE("Verbindlicher/versteckter Eigenanteil à ",ROUND(O59+O63+O66,-2)," € fällt an. Dieser muss durch die Projektleitung durch Angabe einer Budgetstelle geragen werden."),IF(SUM(O59,O63,O66)&lt;=O74,CONCATENATE("Verbindlicher/versteckter Eigenanteil à ",ROUND(O59+O63+O66,-2)," € fällt an. Dieser wird entweder durch Budgetstelle der Projektleitung finanziert ODER durch Ressort II vorfinanziert, wobei dann die Projektleitung auf den entsprechenden Anteil ihres 70-%-Anteil der Pauschale verzichtet."),CONCATENATE("Verbindlicher/versteckter Eigenanteil à ",ROUND(O59+O63+O66,-2)," € fällt an. Dieser wird entweder durch Budgetstelle der Projektleitung finanziert ODER ~ ",ROUND(O74,-2)," € wird durch Ressort II vorfinanziert (wobei dann die Projektleitung auf ihren 70-%-Anteil der Pauschale verzichtet) und ~ ",ROUND(O59+O63+O66-O74,-2), " € wird durch die Projektleitung mit Angabe einer Budgetstelle finanziert."))))</f>
        <v>Verbindlicher/versteckter Eigenanteil à 11200 € fällt an. Dieser muss durch die Projektleitung durch Angabe einer Budgetstelle geragen werden.</v>
      </c>
      <c r="F77" s="940"/>
      <c r="G77" s="940"/>
      <c r="H77" s="940"/>
      <c r="I77" s="940"/>
      <c r="J77" s="940"/>
      <c r="K77" s="940"/>
      <c r="L77" s="940"/>
      <c r="M77" s="940"/>
      <c r="N77" s="940"/>
      <c r="O77" s="941"/>
      <c r="P77" s="3"/>
      <c r="Q77" s="3"/>
      <c r="R77" s="3"/>
      <c r="S77" s="206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</row>
    <row r="78" spans="2:34" x14ac:dyDescent="0.35">
      <c r="B78" s="303"/>
      <c r="C78" s="306"/>
      <c r="D78" s="4"/>
      <c r="E78" s="942"/>
      <c r="F78" s="943"/>
      <c r="G78" s="943"/>
      <c r="H78" s="943"/>
      <c r="I78" s="943"/>
      <c r="J78" s="943"/>
      <c r="K78" s="943"/>
      <c r="L78" s="943"/>
      <c r="M78" s="943"/>
      <c r="N78" s="943"/>
      <c r="O78" s="944"/>
      <c r="P78" s="3"/>
      <c r="Q78" s="3"/>
      <c r="R78" s="3"/>
      <c r="S78" s="206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</row>
    <row r="79" spans="2:34" x14ac:dyDescent="0.35">
      <c r="B79" s="303"/>
      <c r="C79" s="306"/>
      <c r="D79" s="4"/>
      <c r="E79" s="945"/>
      <c r="F79" s="946"/>
      <c r="G79" s="946"/>
      <c r="H79" s="946"/>
      <c r="I79" s="946"/>
      <c r="J79" s="946"/>
      <c r="K79" s="946"/>
      <c r="L79" s="946"/>
      <c r="M79" s="946"/>
      <c r="N79" s="946"/>
      <c r="O79" s="947"/>
      <c r="P79" s="3"/>
      <c r="Q79" s="3"/>
      <c r="R79" s="3"/>
      <c r="S79" s="206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</row>
    <row r="80" spans="2:34" x14ac:dyDescent="0.35">
      <c r="B80" s="303"/>
      <c r="C80" s="30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"/>
      <c r="Q80" s="3"/>
      <c r="R80" s="3"/>
      <c r="S80" s="206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</row>
    <row r="81" spans="1:34" x14ac:dyDescent="0.35">
      <c r="B81" s="303"/>
      <c r="C81" s="306" t="s">
        <v>227</v>
      </c>
      <c r="D81" s="1"/>
      <c r="E81" s="1"/>
      <c r="F81" s="956"/>
      <c r="G81" s="957"/>
      <c r="H81" s="957"/>
      <c r="I81" s="957"/>
      <c r="J81" s="957"/>
      <c r="K81" s="957"/>
      <c r="L81" s="957"/>
      <c r="M81" s="957"/>
      <c r="N81" s="957"/>
      <c r="O81" s="958"/>
      <c r="P81" s="448"/>
      <c r="Q81" s="3"/>
      <c r="R81" s="3"/>
      <c r="S81" s="206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</row>
    <row r="82" spans="1:34" x14ac:dyDescent="0.35">
      <c r="B82" s="303"/>
      <c r="C82" s="306" t="s">
        <v>226</v>
      </c>
      <c r="D82" s="1"/>
      <c r="E82" s="1"/>
      <c r="F82" s="956"/>
      <c r="G82" s="957"/>
      <c r="H82" s="957"/>
      <c r="I82" s="957"/>
      <c r="J82" s="957"/>
      <c r="K82" s="957"/>
      <c r="L82" s="957"/>
      <c r="M82" s="957"/>
      <c r="N82" s="957"/>
      <c r="O82" s="958"/>
      <c r="P82" s="448"/>
      <c r="Q82" s="3"/>
      <c r="R82" s="3"/>
      <c r="S82" s="206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</row>
    <row r="83" spans="1:34" x14ac:dyDescent="0.35">
      <c r="B83" s="303"/>
      <c r="C83" s="306" t="s">
        <v>228</v>
      </c>
      <c r="D83" s="1"/>
      <c r="E83" s="1"/>
      <c r="F83" s="956"/>
      <c r="G83" s="957"/>
      <c r="H83" s="957"/>
      <c r="I83" s="957"/>
      <c r="J83" s="957"/>
      <c r="K83" s="957"/>
      <c r="L83" s="957"/>
      <c r="M83" s="957"/>
      <c r="N83" s="957"/>
      <c r="O83" s="958"/>
      <c r="P83" s="448"/>
      <c r="Q83" s="3"/>
      <c r="R83" s="3"/>
      <c r="S83" s="206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</row>
    <row r="84" spans="1:34" x14ac:dyDescent="0.35">
      <c r="B84" s="303"/>
      <c r="C84" s="306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206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</row>
    <row r="85" spans="1:34" x14ac:dyDescent="0.35">
      <c r="B85" s="303"/>
      <c r="C85" s="306" t="s">
        <v>214</v>
      </c>
      <c r="D85" s="948"/>
      <c r="E85" s="949"/>
      <c r="F85" s="949"/>
      <c r="G85" s="949"/>
      <c r="H85" s="950"/>
      <c r="I85" s="4"/>
      <c r="J85" s="952"/>
      <c r="K85" s="952"/>
      <c r="L85" s="952"/>
      <c r="M85" s="952"/>
      <c r="N85" s="952"/>
      <c r="O85" s="4"/>
      <c r="P85" s="4"/>
      <c r="Q85" s="4"/>
      <c r="R85" s="4"/>
      <c r="S85" s="206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</row>
    <row r="86" spans="1:34" x14ac:dyDescent="0.35">
      <c r="B86" s="303"/>
      <c r="C86" s="306" t="s">
        <v>215</v>
      </c>
      <c r="D86" s="948"/>
      <c r="E86" s="949"/>
      <c r="F86" s="949"/>
      <c r="G86" s="949"/>
      <c r="H86" s="950"/>
      <c r="I86" s="4"/>
      <c r="J86" s="952"/>
      <c r="K86" s="952"/>
      <c r="L86" s="952"/>
      <c r="M86" s="952"/>
      <c r="N86" s="952"/>
      <c r="O86" s="4"/>
      <c r="P86" s="4"/>
      <c r="Q86" s="4"/>
      <c r="R86" s="4"/>
      <c r="S86" s="206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</row>
    <row r="87" spans="1:34" ht="15" thickBot="1" x14ac:dyDescent="0.4">
      <c r="B87" s="303"/>
      <c r="C87" s="306"/>
      <c r="D87" s="1"/>
      <c r="E87" s="1"/>
      <c r="F87" s="4"/>
      <c r="G87" s="4"/>
      <c r="H87" s="4"/>
      <c r="I87" s="4"/>
      <c r="J87" s="953"/>
      <c r="K87" s="953"/>
      <c r="L87" s="953"/>
      <c r="M87" s="953"/>
      <c r="N87" s="953"/>
      <c r="O87" s="4"/>
      <c r="P87" s="4"/>
      <c r="Q87" s="4"/>
      <c r="R87" s="4"/>
      <c r="S87" s="206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</row>
    <row r="88" spans="1:34" x14ac:dyDescent="0.35">
      <c r="B88" s="303"/>
      <c r="C88" s="306"/>
      <c r="D88" s="1"/>
      <c r="E88" s="1"/>
      <c r="F88" s="4"/>
      <c r="G88" s="4"/>
      <c r="H88" s="4"/>
      <c r="I88" s="4"/>
      <c r="J88" s="951" t="s">
        <v>178</v>
      </c>
      <c r="K88" s="951"/>
      <c r="L88" s="951"/>
      <c r="M88" s="951"/>
      <c r="N88" s="951"/>
      <c r="O88" s="4"/>
      <c r="P88" s="4"/>
      <c r="Q88" s="4"/>
      <c r="R88" s="4"/>
      <c r="S88" s="206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</row>
    <row r="89" spans="1:34" ht="6.65" customHeight="1" thickBot="1" x14ac:dyDescent="0.4">
      <c r="B89" s="308"/>
      <c r="C89" s="312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4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</row>
    <row r="90" spans="1:34" ht="15" thickTop="1" x14ac:dyDescent="0.35">
      <c r="A90" s="330"/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</row>
    <row r="91" spans="1:34" x14ac:dyDescent="0.35">
      <c r="A91" s="330"/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</row>
    <row r="92" spans="1:34" x14ac:dyDescent="0.35">
      <c r="A92" s="330"/>
      <c r="B92" s="330"/>
      <c r="C92" s="333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</row>
    <row r="93" spans="1:34" x14ac:dyDescent="0.35">
      <c r="A93" s="330"/>
      <c r="B93" s="330"/>
      <c r="C93" s="333"/>
      <c r="D93" s="333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</row>
    <row r="94" spans="1:34" x14ac:dyDescent="0.35">
      <c r="A94" s="330"/>
      <c r="B94" s="330"/>
      <c r="C94" s="333"/>
      <c r="D94" s="333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</row>
    <row r="95" spans="1:34" x14ac:dyDescent="0.35">
      <c r="A95" s="330"/>
      <c r="B95" s="330"/>
      <c r="C95" s="333"/>
      <c r="D95" s="333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</row>
    <row r="96" spans="1:34" x14ac:dyDescent="0.35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</row>
    <row r="97" spans="1:34" x14ac:dyDescent="0.35">
      <c r="A97" s="330"/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</row>
    <row r="98" spans="1:34" x14ac:dyDescent="0.35">
      <c r="A98" s="330"/>
      <c r="B98" s="330"/>
      <c r="C98" s="333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</row>
    <row r="99" spans="1:34" x14ac:dyDescent="0.35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</row>
    <row r="100" spans="1:34" x14ac:dyDescent="0.35">
      <c r="A100" s="330"/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</row>
    <row r="101" spans="1:34" x14ac:dyDescent="0.35">
      <c r="A101" s="330"/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0"/>
      <c r="AG101" s="330"/>
      <c r="AH101" s="330"/>
    </row>
    <row r="102" spans="1:34" x14ac:dyDescent="0.35">
      <c r="A102" s="330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30"/>
      <c r="AH102" s="330"/>
    </row>
    <row r="103" spans="1:34" x14ac:dyDescent="0.35">
      <c r="A103" s="330"/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</row>
    <row r="104" spans="1:34" x14ac:dyDescent="0.35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</row>
    <row r="105" spans="1:34" x14ac:dyDescent="0.35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</row>
    <row r="106" spans="1:34" x14ac:dyDescent="0.35">
      <c r="A106" s="330"/>
      <c r="B106" s="330"/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  <c r="AE106" s="330"/>
      <c r="AF106" s="330"/>
      <c r="AG106" s="330"/>
      <c r="AH106" s="330"/>
    </row>
    <row r="107" spans="1:34" x14ac:dyDescent="0.35">
      <c r="A107" s="330"/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</row>
  </sheetData>
  <sheetProtection sheet="1" objects="1" scenarios="1"/>
  <mergeCells count="25">
    <mergeCell ref="Q8:R8"/>
    <mergeCell ref="G8:H8"/>
    <mergeCell ref="G50:H50"/>
    <mergeCell ref="G51:H51"/>
    <mergeCell ref="G54:H54"/>
    <mergeCell ref="G44:H44"/>
    <mergeCell ref="G45:H45"/>
    <mergeCell ref="G43:H43"/>
    <mergeCell ref="G52:H52"/>
    <mergeCell ref="N3:O3"/>
    <mergeCell ref="E77:O79"/>
    <mergeCell ref="D86:H86"/>
    <mergeCell ref="J88:N88"/>
    <mergeCell ref="J85:N87"/>
    <mergeCell ref="G9:H9"/>
    <mergeCell ref="F83:O83"/>
    <mergeCell ref="F81:O81"/>
    <mergeCell ref="D85:H85"/>
    <mergeCell ref="F82:O82"/>
    <mergeCell ref="G48:H48"/>
    <mergeCell ref="F64:M64"/>
    <mergeCell ref="F66:K66"/>
    <mergeCell ref="D3:E3"/>
    <mergeCell ref="G56:H56"/>
    <mergeCell ref="F3:G3"/>
  </mergeCells>
  <conditionalFormatting sqref="O56:R56">
    <cfRule type="cellIs" dxfId="26" priority="14" operator="greaterThan">
      <formula>$F$57</formula>
    </cfRule>
  </conditionalFormatting>
  <conditionalFormatting sqref="F14">
    <cfRule type="containsText" dxfId="25" priority="13" operator="containsText" text="@FoFö">
      <formula>NOT(ISERROR(SEARCH("@FoFö",F14)))</formula>
    </cfRule>
  </conditionalFormatting>
  <conditionalFormatting sqref="F18">
    <cfRule type="containsText" dxfId="24" priority="5" operator="containsText" text="@FoFö">
      <formula>NOT(ISERROR(SEARCH("@FoFö",F18)))</formula>
    </cfRule>
  </conditionalFormatting>
  <conditionalFormatting sqref="F26">
    <cfRule type="containsText" dxfId="23" priority="3" operator="containsText" text="@FoFö">
      <formula>NOT(ISERROR(SEARCH("@FoFö",F26)))</formula>
    </cfRule>
  </conditionalFormatting>
  <conditionalFormatting sqref="F22">
    <cfRule type="containsText" dxfId="22" priority="4" operator="containsText" text="@FoFö">
      <formula>NOT(ISERROR(SEARCH("@FoFö",F22)))</formula>
    </cfRule>
  </conditionalFormatting>
  <conditionalFormatting sqref="F30">
    <cfRule type="containsText" dxfId="21" priority="2" operator="containsText" text="@FoFö">
      <formula>NOT(ISERROR(SEARCH("@FoFö",F30)))</formula>
    </cfRule>
  </conditionalFormatting>
  <conditionalFormatting sqref="F40">
    <cfRule type="containsText" dxfId="20" priority="1" operator="containsText" text="@FoFö">
      <formula>NOT(ISERROR(SEARCH("@FoFö",F40)))</formula>
    </cfRule>
  </conditionalFormatting>
  <dataValidations count="15">
    <dataValidation showInputMessage="1" showErrorMessage="1" sqref="G17:N17 G13:N13 G25:N25 G29:N29 G21:N21 G39 I39:N39"/>
    <dataValidation type="decimal" allowBlank="1" showInputMessage="1" showErrorMessage="1" sqref="F15 F27 F23 F31 F46:F48 F19 F37 F34 F41">
      <formula1>0</formula1>
      <formula2>1</formula2>
    </dataValidation>
    <dataValidation type="decimal" allowBlank="1" showInputMessage="1" showErrorMessage="1" sqref="F33 F36">
      <formula1>0</formula1>
      <formula2>19</formula2>
    </dataValidation>
    <dataValidation type="list" allowBlank="1" showInputMessage="1" showErrorMessage="1" sqref="D25 D21 D29 D17">
      <formula1>$C$103:$C$121</formula1>
    </dataValidation>
    <dataValidation type="list" allowBlank="1" showInputMessage="1" showErrorMessage="1" sqref="D36">
      <formula1>$I$103:$I$104</formula1>
    </dataValidation>
    <dataValidation type="list" allowBlank="1" showInputMessage="1" showErrorMessage="1" sqref="E17">
      <formula1>$D$99:$D$104</formula1>
    </dataValidation>
    <dataValidation type="list" allowBlank="1" showInputMessage="1" showErrorMessage="1" sqref="E21">
      <formula1>$D$99:$D$104</formula1>
    </dataValidation>
    <dataValidation type="list" allowBlank="1" showInputMessage="1" showErrorMessage="1" sqref="E25">
      <formula1>$D$99:$D$104</formula1>
    </dataValidation>
    <dataValidation type="list" allowBlank="1" showInputMessage="1" showErrorMessage="1" sqref="E29">
      <formula1>$D$99:$D$104</formula1>
    </dataValidation>
    <dataValidation type="list" allowBlank="1" showInputMessage="1" showErrorMessage="1" sqref="D18">
      <formula1>$J$99:$J$100</formula1>
    </dataValidation>
    <dataValidation type="list" allowBlank="1" showInputMessage="1" showErrorMessage="1" sqref="D22">
      <formula1>$J$99:$J$100</formula1>
    </dataValidation>
    <dataValidation type="list" allowBlank="1" showInputMessage="1" showErrorMessage="1" sqref="D26">
      <formula1>$J$99:$J$100</formula1>
    </dataValidation>
    <dataValidation type="list" allowBlank="1" showInputMessage="1" showErrorMessage="1" sqref="D30">
      <formula1>$J$99:$J$100</formula1>
    </dataValidation>
    <dataValidation type="whole" allowBlank="1" showInputMessage="1" showErrorMessage="1" sqref="H33 H36">
      <formula1>0</formula1>
      <formula2>4</formula2>
    </dataValidation>
    <dataValidation type="whole" allowBlank="1" showInputMessage="1" showErrorMessage="1" sqref="G33 G36">
      <formula1>0</formula1>
      <formula2>8</formula2>
    </dataValidation>
  </dataValidations>
  <pageMargins left="0.7" right="0.7" top="0.78740157499999996" bottom="0.78740157499999996" header="0.3" footer="0.3"/>
  <pageSetup paperSize="9" scale="4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'Infos FoFö'!$C$99:$C$117</xm:f>
          </x14:formula1>
          <xm:sqref>D13</xm:sqref>
        </x14:dataValidation>
        <x14:dataValidation type="list" allowBlank="1" showInputMessage="1" showErrorMessage="1">
          <x14:formula1>
            <xm:f>'Infos FoFö'!$D$99:$D$104</xm:f>
          </x14:formula1>
          <xm:sqref>E13</xm:sqref>
        </x14:dataValidation>
        <x14:dataValidation type="list" allowBlank="1" showInputMessage="1" showErrorMessage="1">
          <x14:formula1>
            <xm:f>'Infos FoFö'!$G$99:$G$100</xm:f>
          </x14:formula1>
          <xm:sqref>D3</xm:sqref>
        </x14:dataValidation>
        <x14:dataValidation type="list" allowBlank="1" showInputMessage="1" showErrorMessage="1">
          <x14:formula1>
            <xm:f>'Infos FoFö'!$H$99:$H$100</xm:f>
          </x14:formula1>
          <xm:sqref>F63</xm:sqref>
        </x14:dataValidation>
        <x14:dataValidation type="list" allowBlank="1" showInputMessage="1" showErrorMessage="1">
          <x14:formula1>
            <xm:f>'Infos FoFö'!$I$99:$I$100</xm:f>
          </x14:formula1>
          <xm:sqref>D33</xm:sqref>
        </x14:dataValidation>
        <x14:dataValidation type="list" allowBlank="1" showInputMessage="1" showErrorMessage="1">
          <x14:formula1>
            <xm:f>'Infos FoFö'!$J$99:$J$100</xm:f>
          </x14:formula1>
          <xm:sqref>D14</xm:sqref>
        </x14:dataValidation>
        <x14:dataValidation type="list" allowBlank="1" showInputMessage="1" showErrorMessage="1">
          <x14:formula1>
            <xm:f>'Infos FoFö'!$B$174:$B$175</xm:f>
          </x14:formula1>
          <xm:sqref>D52</xm:sqref>
        </x14:dataValidation>
        <x14:dataValidation type="list" allowBlank="1" showInputMessage="1" showErrorMessage="1">
          <x14:formula1>
            <xm:f>Prof!$K$9:$K$15</xm:f>
          </x14:formula1>
          <xm:sqref>D39</xm:sqref>
        </x14:dataValidation>
        <x14:dataValidation type="list" allowBlank="1" showInputMessage="1" showErrorMessage="1">
          <x14:formula1>
            <xm:f>Prof!$B$13:$B$28</xm:f>
          </x14:formula1>
          <xm:sqref>E39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96"/>
  <sheetViews>
    <sheetView tabSelected="1" zoomScale="85" zoomScaleNormal="85" workbookViewId="0">
      <selection activeCell="H35" sqref="H35"/>
    </sheetView>
  </sheetViews>
  <sheetFormatPr baseColWidth="10" defaultRowHeight="14.5" x14ac:dyDescent="0.35"/>
  <cols>
    <col min="1" max="2" width="1.7265625" customWidth="1"/>
    <col min="3" max="3" width="14.1796875" customWidth="1"/>
    <col min="4" max="4" width="11.7265625" bestFit="1" customWidth="1"/>
    <col min="5" max="5" width="10.1796875" customWidth="1"/>
    <col min="6" max="6" width="13.26953125" customWidth="1"/>
    <col min="7" max="8" width="12.26953125" customWidth="1"/>
    <col min="9" max="10" width="13.26953125" customWidth="1"/>
    <col min="11" max="11" width="13.453125" customWidth="1"/>
    <col min="12" max="12" width="13.7265625" customWidth="1"/>
    <col min="13" max="13" width="13" customWidth="1"/>
    <col min="14" max="14" width="12.26953125" customWidth="1"/>
    <col min="15" max="16" width="15.453125" customWidth="1"/>
    <col min="17" max="17" width="5.26953125" customWidth="1"/>
    <col min="18" max="18" width="8.1796875" customWidth="1"/>
    <col min="19" max="19" width="1.453125" customWidth="1"/>
    <col min="20" max="20" width="1.81640625" customWidth="1"/>
    <col min="21" max="21" width="11.1796875" customWidth="1"/>
    <col min="25" max="25" width="12.7265625" customWidth="1"/>
    <col min="26" max="26" width="12.453125" customWidth="1"/>
    <col min="27" max="27" width="13" customWidth="1"/>
    <col min="28" max="28" width="12.26953125" customWidth="1"/>
    <col min="29" max="29" width="12" customWidth="1"/>
    <col min="30" max="30" width="12.7265625" customWidth="1"/>
    <col min="31" max="31" width="12.453125" customWidth="1"/>
    <col min="32" max="32" width="14.54296875" customWidth="1"/>
    <col min="33" max="33" width="6.1796875" customWidth="1"/>
    <col min="34" max="34" width="15.81640625" customWidth="1"/>
    <col min="35" max="37" width="4.453125" customWidth="1"/>
    <col min="38" max="38" width="12.1796875" bestFit="1" customWidth="1"/>
    <col min="40" max="40" width="12.1796875" bestFit="1" customWidth="1"/>
  </cols>
  <sheetData>
    <row r="1" spans="2:54" ht="6" customHeight="1" thickBot="1" x14ac:dyDescent="0.4"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</row>
    <row r="2" spans="2:54" ht="6" customHeight="1" thickTop="1" x14ac:dyDescent="0.35">
      <c r="B2" s="301"/>
      <c r="C2" s="302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0"/>
      <c r="T2" s="301"/>
      <c r="U2" s="363"/>
      <c r="V2" s="366"/>
      <c r="W2" s="366"/>
      <c r="X2" s="367"/>
      <c r="Y2" s="367"/>
      <c r="Z2" s="367"/>
      <c r="AA2" s="367"/>
      <c r="AB2" s="367"/>
      <c r="AC2" s="367"/>
      <c r="AD2" s="367"/>
      <c r="AE2" s="367"/>
      <c r="AF2" s="368"/>
      <c r="AG2" s="368"/>
      <c r="AH2" s="368"/>
      <c r="AI2" s="369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</row>
    <row r="3" spans="2:54" x14ac:dyDescent="0.35">
      <c r="B3" s="303"/>
      <c r="C3" s="304" t="s">
        <v>220</v>
      </c>
      <c r="D3" s="337" t="s">
        <v>101</v>
      </c>
      <c r="E3" s="988" t="s">
        <v>235</v>
      </c>
      <c r="F3" s="988"/>
      <c r="G3" s="988"/>
      <c r="I3" s="290" t="s">
        <v>203</v>
      </c>
      <c r="J3" s="292" t="s">
        <v>202</v>
      </c>
      <c r="K3" s="334" t="s">
        <v>213</v>
      </c>
      <c r="L3" s="334"/>
      <c r="M3" s="334"/>
      <c r="N3" s="938" t="s">
        <v>288</v>
      </c>
      <c r="O3" s="938"/>
      <c r="P3" s="443"/>
      <c r="Q3" s="4"/>
      <c r="R3" s="4"/>
      <c r="S3" s="206"/>
      <c r="T3" s="305"/>
      <c r="U3" s="622" t="str">
        <f>IF(D3="Interreg",'Infos FoFö'!C91,IF(D3="EFRE",'Infos FoFö'!C88,"Nicht relevant"))</f>
        <v>Nicht relevant</v>
      </c>
      <c r="V3" s="305" t="s">
        <v>605</v>
      </c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7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</row>
    <row r="4" spans="2:54" x14ac:dyDescent="0.35">
      <c r="B4" s="303"/>
      <c r="C4" s="305"/>
      <c r="F4" s="4"/>
      <c r="G4" s="4"/>
      <c r="I4" s="293" t="s">
        <v>224</v>
      </c>
      <c r="J4" s="294"/>
      <c r="K4" s="294"/>
      <c r="L4" s="294"/>
      <c r="M4" s="294"/>
      <c r="N4" s="295"/>
      <c r="O4" s="4"/>
      <c r="P4" s="4"/>
      <c r="Q4" s="4"/>
      <c r="R4" s="4"/>
      <c r="S4" s="206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7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</row>
    <row r="5" spans="2:54" x14ac:dyDescent="0.35">
      <c r="B5" s="303"/>
      <c r="C5" s="306" t="s">
        <v>200</v>
      </c>
      <c r="D5" s="313">
        <v>36</v>
      </c>
      <c r="E5" s="4" t="s">
        <v>199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06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7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</row>
    <row r="6" spans="2:54" ht="7.15" customHeight="1" x14ac:dyDescent="0.35">
      <c r="B6" s="303"/>
      <c r="C6" s="30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06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7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</row>
    <row r="7" spans="2:54" ht="15" thickBot="1" x14ac:dyDescent="0.4">
      <c r="B7" s="303"/>
      <c r="C7" s="306" t="s">
        <v>198</v>
      </c>
      <c r="D7" s="314">
        <v>44927</v>
      </c>
      <c r="E7" s="1" t="s">
        <v>586</v>
      </c>
      <c r="F7" s="564">
        <f>EDATE(D7,D5)-1</f>
        <v>46022</v>
      </c>
      <c r="G7" s="4"/>
      <c r="H7" s="614">
        <v>44927</v>
      </c>
      <c r="I7" s="614">
        <v>45292</v>
      </c>
      <c r="J7" s="614">
        <v>45658</v>
      </c>
      <c r="K7" s="614">
        <v>46023</v>
      </c>
      <c r="L7" s="614">
        <v>46388</v>
      </c>
      <c r="M7" s="614">
        <v>46753</v>
      </c>
      <c r="N7" s="614">
        <v>47119</v>
      </c>
      <c r="O7" s="4"/>
      <c r="P7" s="4"/>
      <c r="Q7" s="4"/>
      <c r="R7" s="4"/>
      <c r="S7" s="206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7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</row>
    <row r="8" spans="2:54" ht="15" thickBot="1" x14ac:dyDescent="0.4">
      <c r="B8" s="303"/>
      <c r="C8" s="307"/>
      <c r="D8" s="4"/>
      <c r="E8" s="4"/>
      <c r="F8" s="4"/>
      <c r="G8" s="975">
        <v>2022</v>
      </c>
      <c r="H8" s="973"/>
      <c r="I8" s="245">
        <v>2023</v>
      </c>
      <c r="J8" s="245">
        <v>2024</v>
      </c>
      <c r="K8" s="245">
        <v>2025</v>
      </c>
      <c r="L8" s="245">
        <v>2026</v>
      </c>
      <c r="M8" s="245">
        <v>2027</v>
      </c>
      <c r="N8" s="245">
        <v>2028</v>
      </c>
      <c r="O8" s="245" t="s">
        <v>194</v>
      </c>
      <c r="P8" s="454"/>
      <c r="Q8" s="990" t="s">
        <v>209</v>
      </c>
      <c r="R8" s="991"/>
      <c r="S8" s="206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71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</row>
    <row r="9" spans="2:54" ht="15" thickTop="1" x14ac:dyDescent="0.35">
      <c r="B9" s="303"/>
      <c r="C9" s="357" t="s">
        <v>236</v>
      </c>
      <c r="D9" s="358"/>
      <c r="E9" s="358"/>
      <c r="F9" s="4"/>
      <c r="G9" s="954">
        <f>IF(YEAR($D$7)&gt;$G$8,0,IF(YEAR($F$7)=$G$8,$D$5,DATEDIF($D$7,$H$7,"m")))</f>
        <v>0</v>
      </c>
      <c r="H9" s="955"/>
      <c r="I9" s="223">
        <f>IF(YEAR($D$7)&gt;$I$8,0,IF(YEAR($D$7)=$I$8,IF(YEAR($F$7)=$I$8,$D$5,DATEDIF($D$7,$I$7,"m")),IF($D$5-SUM($G$9)&lt;=12,$D$5-SUM($G$9),12)))</f>
        <v>12</v>
      </c>
      <c r="J9" s="223">
        <f>IF(YEAR($D$7)&gt;$J$8,0,IF(YEAR($D$7)=$J$8,IF(YEAR($F$7)=$J$8,$D$5,DATEDIF($D$7,$J$7,"m")),IF($D$5-SUM($G$9:$I$9)&lt;=12,$D$5-SUM($G$9:$I$9),12)))</f>
        <v>12</v>
      </c>
      <c r="K9" s="223">
        <f>IF(YEAR($D$7)&gt;$K$8,0,IF(YEAR($D$7)=$K$8,IF(YEAR($F$7)=$K$8,$D$5,DATEDIF($D$7,$K$7,"m")),IF($D$5-SUM($G$9:$J$9)&lt;=12,$D$5-SUM($G$9:$J$9),12)))</f>
        <v>12</v>
      </c>
      <c r="L9" s="223">
        <f>IF(YEAR($D$7)&gt;$L$8,0,IF(YEAR($D$7)=$L$8,IF(YEAR($F$7)=$L$8,$D$5,DATEDIF($D$7,$L$7,"m")),IF($D$5-SUM($G$9:$K$9)&lt;=12,$D$5-SUM($G$9:$K$9),12)))</f>
        <v>0</v>
      </c>
      <c r="M9" s="223">
        <f>IF(YEAR($D$7)&gt;$M$8,0,IF(YEAR($D$7)=$M$8,IF(YEAR($F$7)=$M$8,$D$5,DATEDIF($D$7,$M$7,"m")),IF($D$5-SUM($G$9:$L$9)&lt;=12,$D$5-SUM($G$9:$L$9),12)))</f>
        <v>0</v>
      </c>
      <c r="N9" s="223">
        <f>IF(YEAR($D$7)&gt;$N$8,0,IF(YEAR($D$7)=$N$8,IF(YEAR($F$7)=$N$8,$D$5,DATEDIF($D$7,$N$7,"m")),IF($D$5-SUM($G$9:$M$9)&lt;=12,$D$5-SUM($G$9:$M$9),12)))</f>
        <v>0</v>
      </c>
      <c r="O9" s="4"/>
      <c r="P9" s="4"/>
      <c r="Q9" s="4"/>
      <c r="R9" s="54"/>
      <c r="S9" s="4"/>
      <c r="T9" s="301"/>
      <c r="U9" s="359" t="s">
        <v>274</v>
      </c>
      <c r="V9" s="372"/>
      <c r="W9" s="372"/>
      <c r="X9" s="367"/>
      <c r="Y9" s="367"/>
      <c r="Z9" s="367"/>
      <c r="AA9" s="367"/>
      <c r="AB9" s="367"/>
      <c r="AC9" s="367"/>
      <c r="AD9" s="367"/>
      <c r="AE9" s="367"/>
      <c r="AF9" s="368"/>
      <c r="AG9" s="368"/>
      <c r="AH9" s="368"/>
      <c r="AI9" s="369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</row>
    <row r="10" spans="2:54" ht="12" customHeight="1" thickBot="1" x14ac:dyDescent="0.4">
      <c r="B10" s="303"/>
      <c r="C10" s="307"/>
      <c r="D10" s="4"/>
      <c r="E10" s="4"/>
      <c r="F10" s="255" t="s">
        <v>232</v>
      </c>
      <c r="G10" s="256">
        <v>12</v>
      </c>
      <c r="H10" s="257">
        <v>13</v>
      </c>
      <c r="I10" s="257">
        <v>13</v>
      </c>
      <c r="J10" s="257">
        <v>14</v>
      </c>
      <c r="K10" s="257">
        <v>15</v>
      </c>
      <c r="L10" s="257">
        <v>16</v>
      </c>
      <c r="M10" s="257">
        <v>17</v>
      </c>
      <c r="N10" s="257">
        <v>18</v>
      </c>
      <c r="O10" s="4"/>
      <c r="P10" s="4"/>
      <c r="Q10" s="4"/>
      <c r="R10" s="54"/>
      <c r="S10" s="4"/>
      <c r="T10" s="303"/>
      <c r="U10" s="307"/>
      <c r="V10" s="307"/>
      <c r="W10" s="307"/>
      <c r="X10" s="373"/>
      <c r="Y10" s="373"/>
      <c r="Z10" s="373"/>
      <c r="AA10" s="373"/>
      <c r="AB10" s="373"/>
      <c r="AC10" s="373"/>
      <c r="AD10" s="373"/>
      <c r="AE10" s="373"/>
      <c r="AF10" s="374"/>
      <c r="AG10" s="374"/>
      <c r="AH10" s="374"/>
      <c r="AI10" s="37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</row>
    <row r="11" spans="2:54" ht="15" thickBot="1" x14ac:dyDescent="0.4">
      <c r="B11" s="303"/>
      <c r="C11" s="307"/>
      <c r="D11" s="249"/>
      <c r="E11" s="41"/>
      <c r="F11" s="250"/>
      <c r="G11" s="251">
        <f>IF(G9=0,0,G9-1)</f>
        <v>0</v>
      </c>
      <c r="H11" s="251">
        <f>IF(G9=0,0,1)</f>
        <v>0</v>
      </c>
      <c r="I11" s="251">
        <f t="shared" ref="I11:N11" si="0">I9</f>
        <v>12</v>
      </c>
      <c r="J11" s="251">
        <f t="shared" si="0"/>
        <v>12</v>
      </c>
      <c r="K11" s="251">
        <f t="shared" si="0"/>
        <v>12</v>
      </c>
      <c r="L11" s="251">
        <f t="shared" si="0"/>
        <v>0</v>
      </c>
      <c r="M11" s="251">
        <f t="shared" si="0"/>
        <v>0</v>
      </c>
      <c r="N11" s="251">
        <f t="shared" si="0"/>
        <v>0</v>
      </c>
      <c r="O11" s="41"/>
      <c r="P11" s="453" t="s">
        <v>297</v>
      </c>
      <c r="Q11" s="252" t="s">
        <v>208</v>
      </c>
      <c r="R11" s="253" t="s">
        <v>207</v>
      </c>
      <c r="S11" s="4"/>
      <c r="T11" s="303"/>
      <c r="U11" s="351"/>
      <c r="V11" s="351"/>
      <c r="W11" s="306" t="s">
        <v>246</v>
      </c>
      <c r="X11" s="351"/>
      <c r="Y11" s="637">
        <v>2022</v>
      </c>
      <c r="Z11" s="637">
        <v>2023</v>
      </c>
      <c r="AA11" s="637">
        <v>2024</v>
      </c>
      <c r="AB11" s="638">
        <v>2025</v>
      </c>
      <c r="AC11" s="638">
        <v>2026</v>
      </c>
      <c r="AD11" s="638">
        <v>2027</v>
      </c>
      <c r="AE11" s="638">
        <v>2028</v>
      </c>
      <c r="AF11" s="636" t="s">
        <v>192</v>
      </c>
      <c r="AG11" s="375"/>
      <c r="AH11" s="376"/>
      <c r="AI11" s="37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</row>
    <row r="12" spans="2:54" x14ac:dyDescent="0.35">
      <c r="B12" s="303"/>
      <c r="C12" s="307"/>
      <c r="D12" s="315" t="s">
        <v>76</v>
      </c>
      <c r="E12" s="316">
        <v>3</v>
      </c>
      <c r="F12" s="270"/>
      <c r="G12" s="319">
        <v>0</v>
      </c>
      <c r="H12" s="320">
        <v>0</v>
      </c>
      <c r="I12" s="320">
        <v>0</v>
      </c>
      <c r="J12" s="320">
        <v>0</v>
      </c>
      <c r="K12" s="320">
        <v>0</v>
      </c>
      <c r="L12" s="320">
        <v>0</v>
      </c>
      <c r="M12" s="320">
        <v>0</v>
      </c>
      <c r="N12" s="320">
        <v>0</v>
      </c>
      <c r="O12" s="214"/>
      <c r="P12" s="449"/>
      <c r="Q12" s="233">
        <f>SUM(G12:N12)</f>
        <v>0</v>
      </c>
      <c r="R12" s="248">
        <f>Q12*F14</f>
        <v>0</v>
      </c>
      <c r="S12" s="4"/>
      <c r="T12" s="303"/>
      <c r="U12" s="985" t="str">
        <f>CONCATENATE(D13," ",E13,", TV-L ",D12," Stufe ",E12)</f>
        <v>NN , TV-L E 13 Stufe 3</v>
      </c>
      <c r="V12" s="985"/>
      <c r="W12" s="986" t="s">
        <v>268</v>
      </c>
      <c r="X12" s="987"/>
      <c r="Y12" s="377">
        <f>IF($D$3="DFG",(G12+H12),IF($X14=1,(G12+H12),(G12+H12)*ROUND($X14*$U$3/12,2)))</f>
        <v>0</v>
      </c>
      <c r="Z12" s="377">
        <f>IF($D$3="DFG",I12,IF($X14=1,I12,I12*ROUND($X14*$U$3/12,2)))</f>
        <v>0</v>
      </c>
      <c r="AA12" s="377">
        <f t="shared" ref="AA12:AE12" si="1">IF($D$3="DFG",J12,IF($X14=1,J12,J12*ROUND($X14*$U$3/12,2)))</f>
        <v>0</v>
      </c>
      <c r="AB12" s="377">
        <f t="shared" si="1"/>
        <v>0</v>
      </c>
      <c r="AC12" s="377">
        <f t="shared" si="1"/>
        <v>0</v>
      </c>
      <c r="AD12" s="377">
        <f t="shared" si="1"/>
        <v>0</v>
      </c>
      <c r="AE12" s="377">
        <f t="shared" si="1"/>
        <v>0</v>
      </c>
      <c r="AF12" s="377">
        <f>IF($D$3="DFG",Q12,IF(X14=1,Q12,Q12*ROUND(X14*$U$3/12,2)))</f>
        <v>0</v>
      </c>
      <c r="AG12" s="402" t="str">
        <f>IF($D$3="DFG","KM",IF(X14=1,"KM","h gesamt"))</f>
        <v>KM</v>
      </c>
      <c r="AH12" s="376"/>
      <c r="AI12" s="37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</row>
    <row r="13" spans="2:54" x14ac:dyDescent="0.35">
      <c r="B13" s="303"/>
      <c r="C13" s="307"/>
      <c r="D13" s="317" t="s">
        <v>218</v>
      </c>
      <c r="E13" s="318"/>
      <c r="F13" s="273" t="str">
        <f>IF(D13="Name:","@FoFö: ggf. PK korrigieren", "")</f>
        <v/>
      </c>
      <c r="G13" s="269">
        <f>IF($F14=0,0,INDEX(Tabelle!$A$4:$S$118,$E15,G$10))</f>
        <v>0</v>
      </c>
      <c r="H13" s="269">
        <f>IF($F14=0,0,INDEX(Tabelle!$A$4:$S$118,$E15,H$10))</f>
        <v>0</v>
      </c>
      <c r="I13" s="269">
        <f>IF($F14=0,0,INDEX(Tabelle!$A$4:$S$118,$E15,I$10))</f>
        <v>0</v>
      </c>
      <c r="J13" s="269">
        <f>IF($F14=0,0,INDEX(Tabelle!$A$4:$S$118,$E15,J$10))</f>
        <v>0</v>
      </c>
      <c r="K13" s="269">
        <f>IF($F14=0,0,INDEX(Tabelle!$A$4:$S$118,$E15,K$10))</f>
        <v>0</v>
      </c>
      <c r="L13" s="269">
        <f>IF($F14=0,0,INDEX(Tabelle!$A$4:$S$118,$E15,L$10))</f>
        <v>0</v>
      </c>
      <c r="M13" s="269">
        <f>IF($F14=0,0,INDEX(Tabelle!$A$4:$S$118,$E15,M$10))</f>
        <v>0</v>
      </c>
      <c r="N13" s="269">
        <f>IF($F14=0,0,INDEX(Tabelle!$A$4:$S$118,$E15,N$10))</f>
        <v>0</v>
      </c>
      <c r="O13" s="214"/>
      <c r="P13" s="264">
        <f>IF(SUM(G12:N12)=0,0,SUMPRODUCT(G12:N12,G13:N13)/SUM(G12:N12))</f>
        <v>0</v>
      </c>
      <c r="Q13" s="4"/>
      <c r="R13" s="54"/>
      <c r="S13" s="4"/>
      <c r="T13" s="303"/>
      <c r="U13" s="351"/>
      <c r="V13" s="379" t="s">
        <v>273</v>
      </c>
      <c r="W13" s="380">
        <f>MATCH($W12,'Infos FoFö'!$B$153:$B$169,0)</f>
        <v>14</v>
      </c>
      <c r="X13" s="381"/>
      <c r="Y13" s="381"/>
      <c r="Z13" s="381"/>
      <c r="AA13" s="381"/>
      <c r="AB13" s="381"/>
      <c r="AC13" s="381"/>
      <c r="AD13" s="381"/>
      <c r="AE13" s="381"/>
      <c r="AF13" s="382">
        <f>IF($D$3="DFG",IF(W13&lt;&gt;17,INDEX('Infos FoFö'!$B$153:$C$169,W13,2),G13),IF(X14=1,INDEX('Infos FoFö'!$B$153:$C$169,W13,2),INDEX('Infos FoFö'!$B$153:$D$169,W13,3)))</f>
        <v>5975</v>
      </c>
      <c r="AG13" s="383"/>
      <c r="AH13" s="400" t="str">
        <f>IF(AF12&lt;&gt;0,IF(NOT(ISERROR(SEARCH($D$3,W12,1))),"","Zuordnung prüfen"),"")</f>
        <v/>
      </c>
      <c r="AI13" s="37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</row>
    <row r="14" spans="2:54" x14ac:dyDescent="0.35">
      <c r="B14" s="303"/>
      <c r="C14" s="307"/>
      <c r="D14" s="266" t="s">
        <v>149</v>
      </c>
      <c r="E14" s="261">
        <f>IF(D12='Infos FoFö'!$C$99,1,IF(D12='Infos FoFö'!$C$100,2,IF(D12='Infos FoFö'!$C$101,3,IF(D12='Infos FoFö'!$C$102,4,IF(D12='Infos FoFö'!$C$103,5,IF(D12='Infos FoFö'!$C$104,6,IF(D12='Infos FoFö'!$C$105,7,IF(D12='Infos FoFö'!$C$106,8,IF(D12='Infos FoFö'!$C$107,9,IF(D12='Infos FoFö'!$C$108,10,IF(D12='Infos FoFö'!$C$109,11,IF(D12='Infos FoFö'!$C$110,12,IF(D12='Infos FoFö'!$C$111,13,IF(D12='Infos FoFö'!$C$112,14,IF(D12='Infos FoFö'!$C$113,15,IF(D12='Infos FoFö'!$C$114,16,IF(D12='Infos FoFö'!$C$115,17,IF(D12='Infos FoFö'!$C$116,18,IF(D12='Infos FoFö'!$C$117,19,"Fehler")))))))))))))))))))</f>
        <v>5</v>
      </c>
      <c r="F14" s="321">
        <v>0</v>
      </c>
      <c r="G14" s="216">
        <f>G13*$F14</f>
        <v>0</v>
      </c>
      <c r="H14" s="216">
        <f t="shared" ref="H14:N14" si="2">H13*$F14</f>
        <v>0</v>
      </c>
      <c r="I14" s="216">
        <f t="shared" si="2"/>
        <v>0</v>
      </c>
      <c r="J14" s="216">
        <f t="shared" si="2"/>
        <v>0</v>
      </c>
      <c r="K14" s="216">
        <f t="shared" si="2"/>
        <v>0</v>
      </c>
      <c r="L14" s="216">
        <f t="shared" si="2"/>
        <v>0</v>
      </c>
      <c r="M14" s="216">
        <f t="shared" si="2"/>
        <v>0</v>
      </c>
      <c r="N14" s="216">
        <f t="shared" si="2"/>
        <v>0</v>
      </c>
      <c r="O14" s="207"/>
      <c r="P14" s="4"/>
      <c r="Q14" s="4"/>
      <c r="R14" s="54"/>
      <c r="S14" s="4"/>
      <c r="T14" s="303"/>
      <c r="U14" s="351"/>
      <c r="V14" s="384"/>
      <c r="X14" s="385">
        <f>F14</f>
        <v>0</v>
      </c>
      <c r="Y14" s="639">
        <f>Y12*$AF13</f>
        <v>0</v>
      </c>
      <c r="Z14" s="639">
        <f t="shared" ref="Z14:AE14" si="3">Z12*$AF13</f>
        <v>0</v>
      </c>
      <c r="AA14" s="639">
        <f t="shared" si="3"/>
        <v>0</v>
      </c>
      <c r="AB14" s="639">
        <f t="shared" si="3"/>
        <v>0</v>
      </c>
      <c r="AC14" s="639">
        <f t="shared" si="3"/>
        <v>0</v>
      </c>
      <c r="AD14" s="639">
        <f t="shared" si="3"/>
        <v>0</v>
      </c>
      <c r="AE14" s="639">
        <f t="shared" si="3"/>
        <v>0</v>
      </c>
      <c r="AF14" s="382">
        <f>IF($D$3="DFG",X14*AF13,IF(X14=1,X14*AF13,AF12*AF13))</f>
        <v>0</v>
      </c>
      <c r="AG14" s="383"/>
      <c r="AH14" s="378"/>
      <c r="AI14" s="37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</row>
    <row r="15" spans="2:54" ht="15" thickBot="1" x14ac:dyDescent="0.4">
      <c r="B15" s="303"/>
      <c r="C15" s="307"/>
      <c r="D15" s="260" t="s">
        <v>159</v>
      </c>
      <c r="E15" s="265">
        <f>2+(E14-1)*6+(6-E12)</f>
        <v>29</v>
      </c>
      <c r="F15" s="794" t="s">
        <v>667</v>
      </c>
      <c r="G15" s="235">
        <f>G12*G14</f>
        <v>0</v>
      </c>
      <c r="H15" s="235">
        <f t="shared" ref="H15:N15" si="4">H12*H14</f>
        <v>0</v>
      </c>
      <c r="I15" s="235">
        <f t="shared" si="4"/>
        <v>0</v>
      </c>
      <c r="J15" s="235">
        <f t="shared" si="4"/>
        <v>0</v>
      </c>
      <c r="K15" s="235">
        <f t="shared" si="4"/>
        <v>0</v>
      </c>
      <c r="L15" s="235">
        <f t="shared" si="4"/>
        <v>0</v>
      </c>
      <c r="M15" s="235">
        <f t="shared" si="4"/>
        <v>0</v>
      </c>
      <c r="N15" s="235">
        <f t="shared" si="4"/>
        <v>0</v>
      </c>
      <c r="O15" s="236">
        <f>SUM(G15:N15)</f>
        <v>0</v>
      </c>
      <c r="P15" s="237"/>
      <c r="Q15" s="237"/>
      <c r="R15" s="238"/>
      <c r="S15" s="4"/>
      <c r="T15" s="303"/>
      <c r="U15" s="351"/>
      <c r="V15" s="384"/>
      <c r="W15" s="381"/>
      <c r="X15" s="381"/>
      <c r="Y15" s="381"/>
      <c r="Z15" s="381"/>
      <c r="AA15" s="381"/>
      <c r="AB15" s="381"/>
      <c r="AC15" s="381"/>
      <c r="AD15" s="381"/>
      <c r="AE15" s="381"/>
      <c r="AF15" s="307"/>
      <c r="AG15" s="386"/>
      <c r="AH15" s="387">
        <f>IF($D$3="DFG",AF12*AF14,IF(X14=1,AF12*AF14,AF12*AF13))</f>
        <v>0</v>
      </c>
      <c r="AI15" s="37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</row>
    <row r="16" spans="2:54" x14ac:dyDescent="0.35">
      <c r="B16" s="303"/>
      <c r="C16" s="307"/>
      <c r="D16" s="315" t="s">
        <v>76</v>
      </c>
      <c r="E16" s="316">
        <v>3</v>
      </c>
      <c r="F16" s="270"/>
      <c r="G16" s="323">
        <v>0</v>
      </c>
      <c r="H16" s="324">
        <v>0</v>
      </c>
      <c r="I16" s="324">
        <v>0</v>
      </c>
      <c r="J16" s="324">
        <v>0</v>
      </c>
      <c r="K16" s="324">
        <v>0</v>
      </c>
      <c r="L16" s="324">
        <v>0</v>
      </c>
      <c r="M16" s="324">
        <v>0</v>
      </c>
      <c r="N16" s="324">
        <v>0</v>
      </c>
      <c r="O16" s="239"/>
      <c r="P16" s="455"/>
      <c r="Q16" s="234">
        <f>SUM(G16:N16)</f>
        <v>0</v>
      </c>
      <c r="R16" s="240">
        <f>Q16*F18</f>
        <v>0</v>
      </c>
      <c r="S16" s="4"/>
      <c r="T16" s="303"/>
      <c r="U16" s="985" t="str">
        <f>CONCATENATE(D17," ",E17,", TV-L ",D16," Stufe ",E16)</f>
        <v>NN , TV-L E 13 Stufe 3</v>
      </c>
      <c r="V16" s="985"/>
      <c r="W16" s="986" t="s">
        <v>268</v>
      </c>
      <c r="X16" s="987"/>
      <c r="Y16" s="377">
        <f>IF($D$3="DFG",(G16+H16),IF($X18=1,(G16+H16),(G16+H16)*ROUND($X18*$U$3/12,2)))</f>
        <v>0</v>
      </c>
      <c r="Z16" s="377">
        <f>IF($D$3="DFG",I16,IF($X18=1,I16,I16*ROUND($X18*$U$3/12,2)))</f>
        <v>0</v>
      </c>
      <c r="AA16" s="377">
        <f t="shared" ref="AA16" si="5">IF($D$3="DFG",J16,IF($X18=1,J16,J16*ROUND($X18*$U$3/12,2)))</f>
        <v>0</v>
      </c>
      <c r="AB16" s="377">
        <f t="shared" ref="AB16" si="6">IF($D$3="DFG",K16,IF($X18=1,K16,K16*ROUND($X18*$U$3/12,2)))</f>
        <v>0</v>
      </c>
      <c r="AC16" s="377">
        <f t="shared" ref="AC16" si="7">IF($D$3="DFG",L16,IF($X18=1,L16,L16*ROUND($X18*$U$3/12,2)))</f>
        <v>0</v>
      </c>
      <c r="AD16" s="377">
        <f t="shared" ref="AD16" si="8">IF($D$3="DFG",M16,IF($X18=1,M16,M16*ROUND($X18*$U$3/12,2)))</f>
        <v>0</v>
      </c>
      <c r="AE16" s="377">
        <f t="shared" ref="AE16" si="9">IF($D$3="DFG",N16,IF($X18=1,N16,N16*ROUND($X18*$U$3/12,2)))</f>
        <v>0</v>
      </c>
      <c r="AF16" s="377">
        <f>IF($D$3="DFG",Q16,IF(X18=1,Q16,Q16*ROUND(X18*$U$3/12,2)))</f>
        <v>0</v>
      </c>
      <c r="AG16" s="402" t="str">
        <f>IF($D$3="DFG","KM",IF(X18=1,"KM","h gesamt"))</f>
        <v>KM</v>
      </c>
      <c r="AH16" s="376"/>
      <c r="AI16" s="37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</row>
    <row r="17" spans="2:54" x14ac:dyDescent="0.35">
      <c r="B17" s="303"/>
      <c r="C17" s="307"/>
      <c r="D17" s="317" t="s">
        <v>218</v>
      </c>
      <c r="E17" s="318"/>
      <c r="F17" s="273" t="str">
        <f>IF(D17="Name:","@FoFö: ggf. PK korrigieren", "")</f>
        <v/>
      </c>
      <c r="G17" s="269">
        <f>IF($F18=0,0,INDEX(Tabelle!$A$4:$S$118,$E19,G$10))</f>
        <v>0</v>
      </c>
      <c r="H17" s="269">
        <f>IF($F18=0,0,INDEX(Tabelle!$A$4:$S$118,$E19,H$10))</f>
        <v>0</v>
      </c>
      <c r="I17" s="269">
        <f>IF($F18=0,0,INDEX(Tabelle!$A$4:$S$118,$E19,I$10))</f>
        <v>0</v>
      </c>
      <c r="J17" s="269">
        <f>IF($F18=0,0,INDEX(Tabelle!$A$4:$S$118,$E19,J$10))</f>
        <v>0</v>
      </c>
      <c r="K17" s="269">
        <f>IF($F18=0,0,INDEX(Tabelle!$A$4:$S$118,$E19,K$10))</f>
        <v>0</v>
      </c>
      <c r="L17" s="269">
        <f>IF($F18=0,0,INDEX(Tabelle!$A$4:$S$118,$E19,L$10))</f>
        <v>0</v>
      </c>
      <c r="M17" s="269">
        <f>IF($F18=0,0,INDEX(Tabelle!$A$4:$S$118,$E19,M$10))</f>
        <v>0</v>
      </c>
      <c r="N17" s="269">
        <f>IF($F18=0,0,INDEX(Tabelle!$A$4:$S$118,$E19,N$10))</f>
        <v>0</v>
      </c>
      <c r="O17" s="214"/>
      <c r="P17" s="264">
        <f>IF(SUM(G16:N16)=0,0,SUMPRODUCT(G16:N16,G17:N17)/SUM(G16:N16))</f>
        <v>0</v>
      </c>
      <c r="Q17" s="3"/>
      <c r="R17" s="241"/>
      <c r="S17" s="4"/>
      <c r="T17" s="303"/>
      <c r="U17" s="307"/>
      <c r="V17" s="405" t="s">
        <v>273</v>
      </c>
      <c r="W17" s="406">
        <f>MATCH($W16,'Infos FoFö'!$B$153:$B$169,0)</f>
        <v>14</v>
      </c>
      <c r="X17" s="381"/>
      <c r="Y17" s="381"/>
      <c r="Z17" s="381"/>
      <c r="AA17" s="381"/>
      <c r="AB17" s="381"/>
      <c r="AC17" s="381"/>
      <c r="AD17" s="381"/>
      <c r="AE17" s="381"/>
      <c r="AF17" s="382">
        <f>IF($D$3="DFG",IF(W17&lt;&gt;17,INDEX('Infos FoFö'!$B$153:$C$169,W17,2),G17),IF(X18=1,INDEX('Infos FoFö'!$B$153:$C$169,W17,2),INDEX('Infos FoFö'!$B$153:$D$169,W17,3)))</f>
        <v>5975</v>
      </c>
      <c r="AG17" s="403"/>
      <c r="AH17" s="400" t="str">
        <f>IF(AF16&lt;&gt;0,IF(NOT(ISERROR(SEARCH($D$3,W16,1))),"","Zuordnung prüfen"),"")</f>
        <v/>
      </c>
      <c r="AI17" s="37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</row>
    <row r="18" spans="2:54" x14ac:dyDescent="0.35">
      <c r="B18" s="303"/>
      <c r="C18" s="307"/>
      <c r="D18" s="260" t="s">
        <v>149</v>
      </c>
      <c r="E18" s="261">
        <f>IF(D16='Infos FoFö'!$C$99,1,IF(D16='Infos FoFö'!$C$100,2,IF(D16='Infos FoFö'!$C$101,3,IF(D16='Infos FoFö'!$C$102,4,IF(D16='Infos FoFö'!$C$103,5,IF(D16='Infos FoFö'!$C$104,6,IF(D16='Infos FoFö'!$C$105,7,IF(D16='Infos FoFö'!$C$106,8,IF(D16='Infos FoFö'!$C$107,9,IF(D16='Infos FoFö'!$C$108,10,IF(D16='Infos FoFö'!$C$109,11,IF(D16='Infos FoFö'!$C$110,12,IF(D16='Infos FoFö'!$C$111,13,IF(D16='Infos FoFö'!$C$112,14,IF(D16='Infos FoFö'!$C$113,15,IF(D16='Infos FoFö'!$C$114,16,IF(D16='Infos FoFö'!$C$115,17,IF(D16='Infos FoFö'!$C$116,18,IF(D16='Infos FoFö'!$C$117,19,"Fehler")))))))))))))))))))</f>
        <v>5</v>
      </c>
      <c r="F18" s="321">
        <v>0</v>
      </c>
      <c r="G18" s="216">
        <f>G17*$F18</f>
        <v>0</v>
      </c>
      <c r="H18" s="216">
        <f t="shared" ref="H18:N18" si="10">H17*$F18</f>
        <v>0</v>
      </c>
      <c r="I18" s="216">
        <f t="shared" si="10"/>
        <v>0</v>
      </c>
      <c r="J18" s="216">
        <f t="shared" si="10"/>
        <v>0</v>
      </c>
      <c r="K18" s="216">
        <f t="shared" si="10"/>
        <v>0</v>
      </c>
      <c r="L18" s="216">
        <f t="shared" si="10"/>
        <v>0</v>
      </c>
      <c r="M18" s="216">
        <f t="shared" si="10"/>
        <v>0</v>
      </c>
      <c r="N18" s="216">
        <f t="shared" si="10"/>
        <v>0</v>
      </c>
      <c r="O18" s="207"/>
      <c r="P18" s="4"/>
      <c r="Q18" s="3"/>
      <c r="R18" s="241"/>
      <c r="S18" s="4"/>
      <c r="T18" s="303"/>
      <c r="U18" s="351"/>
      <c r="V18" s="384"/>
      <c r="W18" s="381"/>
      <c r="X18" s="385">
        <f>F18</f>
        <v>0</v>
      </c>
      <c r="Y18" s="639">
        <f>Y16*$AF17</f>
        <v>0</v>
      </c>
      <c r="Z18" s="639">
        <f t="shared" ref="Z18" si="11">Z16*$AF17</f>
        <v>0</v>
      </c>
      <c r="AA18" s="639">
        <f t="shared" ref="AA18" si="12">AA16*$AF17</f>
        <v>0</v>
      </c>
      <c r="AB18" s="639">
        <f t="shared" ref="AB18" si="13">AB16*$AF17</f>
        <v>0</v>
      </c>
      <c r="AC18" s="639">
        <f t="shared" ref="AC18" si="14">AC16*$AF17</f>
        <v>0</v>
      </c>
      <c r="AD18" s="639">
        <f t="shared" ref="AD18" si="15">AD16*$AF17</f>
        <v>0</v>
      </c>
      <c r="AE18" s="639">
        <f t="shared" ref="AE18" si="16">AE16*$AF17</f>
        <v>0</v>
      </c>
      <c r="AF18" s="382">
        <f>IF($D$3="DFG",X18*AF17,IF(X18=1,X18*AF17,0))</f>
        <v>0</v>
      </c>
      <c r="AG18" s="403"/>
      <c r="AH18" s="378"/>
      <c r="AI18" s="37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</row>
    <row r="19" spans="2:54" ht="15" thickBot="1" x14ac:dyDescent="0.4">
      <c r="B19" s="303"/>
      <c r="C19" s="307"/>
      <c r="D19" s="260" t="s">
        <v>159</v>
      </c>
      <c r="E19" s="265">
        <f>2+(E18-1)*6+(6-E16)</f>
        <v>29</v>
      </c>
      <c r="F19" s="794" t="s">
        <v>667</v>
      </c>
      <c r="G19" s="235">
        <f>G16*G18</f>
        <v>0</v>
      </c>
      <c r="H19" s="235">
        <f t="shared" ref="H19:N19" si="17">H16*H18</f>
        <v>0</v>
      </c>
      <c r="I19" s="235">
        <f t="shared" si="17"/>
        <v>0</v>
      </c>
      <c r="J19" s="235">
        <f t="shared" si="17"/>
        <v>0</v>
      </c>
      <c r="K19" s="235">
        <f t="shared" si="17"/>
        <v>0</v>
      </c>
      <c r="L19" s="235">
        <f t="shared" si="17"/>
        <v>0</v>
      </c>
      <c r="M19" s="235">
        <f t="shared" si="17"/>
        <v>0</v>
      </c>
      <c r="N19" s="235">
        <f t="shared" si="17"/>
        <v>0</v>
      </c>
      <c r="O19" s="236">
        <f>SUM(G19:N19)</f>
        <v>0</v>
      </c>
      <c r="P19" s="237"/>
      <c r="Q19" s="237"/>
      <c r="R19" s="238"/>
      <c r="S19" s="4"/>
      <c r="T19" s="303"/>
      <c r="U19" s="351"/>
      <c r="V19" s="307"/>
      <c r="W19" s="351"/>
      <c r="X19" s="381"/>
      <c r="Y19" s="381"/>
      <c r="Z19" s="381"/>
      <c r="AA19" s="381"/>
      <c r="AB19" s="381"/>
      <c r="AC19" s="381"/>
      <c r="AD19" s="381"/>
      <c r="AE19" s="381"/>
      <c r="AF19" s="307"/>
      <c r="AG19" s="404"/>
      <c r="AH19" s="387">
        <f>IF($D$3="DFG",AF16*AF18,IF(X18=1,AF16*AF18,AF16*AF17))</f>
        <v>0</v>
      </c>
      <c r="AI19" s="37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</row>
    <row r="20" spans="2:54" x14ac:dyDescent="0.35">
      <c r="B20" s="303"/>
      <c r="C20" s="307"/>
      <c r="D20" s="315" t="s">
        <v>76</v>
      </c>
      <c r="E20" s="316">
        <v>3</v>
      </c>
      <c r="F20" s="270"/>
      <c r="G20" s="323">
        <v>0</v>
      </c>
      <c r="H20" s="324">
        <v>0</v>
      </c>
      <c r="I20" s="324">
        <v>0</v>
      </c>
      <c r="J20" s="324">
        <v>0</v>
      </c>
      <c r="K20" s="324">
        <v>0</v>
      </c>
      <c r="L20" s="324">
        <v>0</v>
      </c>
      <c r="M20" s="324">
        <v>0</v>
      </c>
      <c r="N20" s="324">
        <v>0</v>
      </c>
      <c r="O20" s="239"/>
      <c r="P20" s="51"/>
      <c r="Q20" s="234">
        <f>SUM(G20:N20)</f>
        <v>0</v>
      </c>
      <c r="R20" s="240">
        <f>Q20*F22</f>
        <v>0</v>
      </c>
      <c r="S20" s="4"/>
      <c r="T20" s="303"/>
      <c r="U20" s="985" t="str">
        <f>CONCATENATE(D21," ",E21,", TV-L ",D20," Stufe ",E20)</f>
        <v>NN , TV-L E 13 Stufe 3</v>
      </c>
      <c r="V20" s="985"/>
      <c r="W20" s="986" t="s">
        <v>268</v>
      </c>
      <c r="X20" s="987"/>
      <c r="Y20" s="377">
        <f>IF($D$3="DFG",(H19+H20),IF($X22=1,(H19+H20),(H19+H20)*ROUND($X22*$U$3/12,2)))</f>
        <v>0</v>
      </c>
      <c r="Z20" s="377">
        <f>IF($D$3="DFG",I20,IF($X22=1,I20,I20*ROUND($X22*$U$3/12,2)))</f>
        <v>0</v>
      </c>
      <c r="AA20" s="377">
        <f t="shared" ref="AA20" si="18">IF($D$3="DFG",J20,IF($X22=1,J20,J20*ROUND($X22*$U$3/12,2)))</f>
        <v>0</v>
      </c>
      <c r="AB20" s="377">
        <f t="shared" ref="AB20" si="19">IF($D$3="DFG",K20,IF($X22=1,K20,K20*ROUND($X22*$U$3/12,2)))</f>
        <v>0</v>
      </c>
      <c r="AC20" s="377">
        <f t="shared" ref="AC20" si="20">IF($D$3="DFG",L20,IF($X22=1,L20,L20*ROUND($X22*$U$3/12,2)))</f>
        <v>0</v>
      </c>
      <c r="AD20" s="377">
        <f t="shared" ref="AD20" si="21">IF($D$3="DFG",M20,IF($X22=1,M20,M20*ROUND($X22*$U$3/12,2)))</f>
        <v>0</v>
      </c>
      <c r="AE20" s="377">
        <f t="shared" ref="AE20" si="22">IF($D$3="DFG",N20,IF($X22=1,N20,N20*ROUND($X22*$U$3/12,2)))</f>
        <v>0</v>
      </c>
      <c r="AF20" s="377">
        <f>IF($D$3="DFG",Q20,IF(X22=1,Q20,Q20*ROUND(X22*$U$3/12,2)))</f>
        <v>0</v>
      </c>
      <c r="AG20" s="402" t="str">
        <f>IF($D$3="DFG","KM",IF(X22=1,"KM","h gesamt"))</f>
        <v>KM</v>
      </c>
      <c r="AH20" s="376"/>
      <c r="AI20" s="37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</row>
    <row r="21" spans="2:54" x14ac:dyDescent="0.35">
      <c r="B21" s="303"/>
      <c r="C21" s="307"/>
      <c r="D21" s="317" t="s">
        <v>218</v>
      </c>
      <c r="E21" s="318"/>
      <c r="F21" s="273" t="str">
        <f>IF(D21="Name:","@FoFö: ggf. PK korrigieren", "")</f>
        <v/>
      </c>
      <c r="G21" s="269">
        <f>IF($F22=0,0,INDEX(Tabelle!$A$4:$S$118,$E23,G$10))</f>
        <v>0</v>
      </c>
      <c r="H21" s="269">
        <f>IF($F22=0,0,INDEX(Tabelle!$A$4:$S$118,$E23,H$10))</f>
        <v>0</v>
      </c>
      <c r="I21" s="269">
        <f>IF($F22=0,0,INDEX(Tabelle!$A$4:$S$118,$E23,I$10))</f>
        <v>0</v>
      </c>
      <c r="J21" s="269">
        <f>IF($F22=0,0,INDEX(Tabelle!$A$4:$S$118,$E23,J$10))</f>
        <v>0</v>
      </c>
      <c r="K21" s="269">
        <f>IF($F22=0,0,INDEX(Tabelle!$A$4:$S$118,$E23,K$10))</f>
        <v>0</v>
      </c>
      <c r="L21" s="269">
        <f>IF($F22=0,0,INDEX(Tabelle!$A$4:$S$118,$E23,L$10))</f>
        <v>0</v>
      </c>
      <c r="M21" s="269">
        <f>IF($F22=0,0,INDEX(Tabelle!$A$4:$S$118,$E23,M$10))</f>
        <v>0</v>
      </c>
      <c r="N21" s="269">
        <f>IF($F22=0,0,INDEX(Tabelle!$A$4:$S$118,$E23,N$10))</f>
        <v>0</v>
      </c>
      <c r="O21" s="214"/>
      <c r="P21" s="264">
        <f>IF(SUM(G20:N20)=0,0,SUMPRODUCT(G20:N20,G21:N21)/SUM(G20:N20))</f>
        <v>0</v>
      </c>
      <c r="Q21" s="3"/>
      <c r="R21" s="241"/>
      <c r="S21" s="4"/>
      <c r="T21" s="303"/>
      <c r="U21" s="351"/>
      <c r="V21" s="405" t="s">
        <v>273</v>
      </c>
      <c r="W21" s="406">
        <f>MATCH($W20,'Infos FoFö'!$B$153:$B$169,0)</f>
        <v>14</v>
      </c>
      <c r="X21" s="381"/>
      <c r="Y21" s="381"/>
      <c r="Z21" s="381"/>
      <c r="AA21" s="381"/>
      <c r="AB21" s="381"/>
      <c r="AC21" s="381"/>
      <c r="AD21" s="381"/>
      <c r="AE21" s="381"/>
      <c r="AF21" s="382">
        <f>IF($D$3="DFG",IF(W21&lt;&gt;17,INDEX('Infos FoFö'!$B$153:$C$169,W21,2),G21),IF(X22=1,INDEX('Infos FoFö'!$B$153:$C$169,W21,2),INDEX('Infos FoFö'!$B$153:$D$169,W21,3)))</f>
        <v>5975</v>
      </c>
      <c r="AG21" s="403"/>
      <c r="AH21" s="400" t="str">
        <f>IF(AF20&lt;&gt;0,IF(NOT(ISERROR(SEARCH($D$3,W20,1))),"","Zuordnung prüfen"),"")</f>
        <v/>
      </c>
      <c r="AI21" s="37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</row>
    <row r="22" spans="2:54" x14ac:dyDescent="0.35">
      <c r="B22" s="303"/>
      <c r="C22" s="307"/>
      <c r="D22" s="260" t="s">
        <v>149</v>
      </c>
      <c r="E22" s="261">
        <f>IF(D20='Infos FoFö'!$C$99,1,IF(D20='Infos FoFö'!$C$100,2,IF(D20='Infos FoFö'!$C$101,3,IF(D20='Infos FoFö'!$C$102,4,IF(D20='Infos FoFö'!$C$103,5,IF(D20='Infos FoFö'!$C$104,6,IF(D20='Infos FoFö'!$C$105,7,IF(D20='Infos FoFö'!$C$106,8,IF(D20='Infos FoFö'!$C$107,9,IF(D20='Infos FoFö'!$C$108,10,IF(D20='Infos FoFö'!$C$109,11,IF(D20='Infos FoFö'!$C$110,12,IF(D20='Infos FoFö'!$C$111,13,IF(D20='Infos FoFö'!$C$112,14,IF(D20='Infos FoFö'!$C$113,15,IF(D20='Infos FoFö'!$C$114,16,IF(D20='Infos FoFö'!$C$115,17,IF(D20='Infos FoFö'!$C$116,18,IF(D20='Infos FoFö'!$C$117,19,"Fehler")))))))))))))))))))</f>
        <v>5</v>
      </c>
      <c r="F22" s="321">
        <v>0</v>
      </c>
      <c r="G22" s="216">
        <f>G21*$F22</f>
        <v>0</v>
      </c>
      <c r="H22" s="216">
        <f t="shared" ref="H22:N22" si="23">H21*$F22</f>
        <v>0</v>
      </c>
      <c r="I22" s="216">
        <f t="shared" si="23"/>
        <v>0</v>
      </c>
      <c r="J22" s="216">
        <f t="shared" si="23"/>
        <v>0</v>
      </c>
      <c r="K22" s="216">
        <f t="shared" si="23"/>
        <v>0</v>
      </c>
      <c r="L22" s="216">
        <f t="shared" si="23"/>
        <v>0</v>
      </c>
      <c r="M22" s="216">
        <f t="shared" si="23"/>
        <v>0</v>
      </c>
      <c r="N22" s="216">
        <f t="shared" si="23"/>
        <v>0</v>
      </c>
      <c r="O22" s="207"/>
      <c r="P22" s="4"/>
      <c r="Q22" s="3"/>
      <c r="R22" s="241"/>
      <c r="S22" s="4"/>
      <c r="T22" s="303"/>
      <c r="U22" s="351"/>
      <c r="V22" s="384"/>
      <c r="W22" s="381"/>
      <c r="X22" s="385">
        <f>F22</f>
        <v>0</v>
      </c>
      <c r="Y22" s="639">
        <f>Y20*$AF21</f>
        <v>0</v>
      </c>
      <c r="Z22" s="639">
        <f t="shared" ref="Z22" si="24">Z20*$AF21</f>
        <v>0</v>
      </c>
      <c r="AA22" s="639">
        <f t="shared" ref="AA22" si="25">AA20*$AF21</f>
        <v>0</v>
      </c>
      <c r="AB22" s="639">
        <f t="shared" ref="AB22" si="26">AB20*$AF21</f>
        <v>0</v>
      </c>
      <c r="AC22" s="639">
        <f t="shared" ref="AC22" si="27">AC20*$AF21</f>
        <v>0</v>
      </c>
      <c r="AD22" s="639">
        <f t="shared" ref="AD22" si="28">AD20*$AF21</f>
        <v>0</v>
      </c>
      <c r="AE22" s="639">
        <f t="shared" ref="AE22" si="29">AE20*$AF21</f>
        <v>0</v>
      </c>
      <c r="AF22" s="382">
        <f>IF($D$3="DFG",X22*AF21,IF(X22=1,X22*AF21,0))</f>
        <v>0</v>
      </c>
      <c r="AG22" s="403"/>
      <c r="AH22" s="378"/>
      <c r="AI22" s="37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</row>
    <row r="23" spans="2:54" ht="15" thickBot="1" x14ac:dyDescent="0.4">
      <c r="B23" s="303"/>
      <c r="C23" s="307"/>
      <c r="D23" s="260" t="s">
        <v>159</v>
      </c>
      <c r="E23" s="265">
        <f>2+(E22-1)*6+(6-E20)</f>
        <v>29</v>
      </c>
      <c r="F23" s="794" t="s">
        <v>667</v>
      </c>
      <c r="G23" s="235">
        <f>G20*G22</f>
        <v>0</v>
      </c>
      <c r="H23" s="235">
        <f t="shared" ref="H23:N23" si="30">H20*H22</f>
        <v>0</v>
      </c>
      <c r="I23" s="235">
        <f t="shared" si="30"/>
        <v>0</v>
      </c>
      <c r="J23" s="235">
        <f t="shared" si="30"/>
        <v>0</v>
      </c>
      <c r="K23" s="235">
        <f t="shared" si="30"/>
        <v>0</v>
      </c>
      <c r="L23" s="235">
        <f t="shared" si="30"/>
        <v>0</v>
      </c>
      <c r="M23" s="235">
        <f t="shared" si="30"/>
        <v>0</v>
      </c>
      <c r="N23" s="235">
        <f t="shared" si="30"/>
        <v>0</v>
      </c>
      <c r="O23" s="236">
        <f>SUM(G23:N23)</f>
        <v>0</v>
      </c>
      <c r="P23" s="237"/>
      <c r="Q23" s="237"/>
      <c r="R23" s="238"/>
      <c r="S23" s="4"/>
      <c r="T23" s="303"/>
      <c r="U23" s="351"/>
      <c r="V23" s="307"/>
      <c r="W23" s="351"/>
      <c r="X23" s="381"/>
      <c r="Y23" s="381"/>
      <c r="Z23" s="381"/>
      <c r="AA23" s="381"/>
      <c r="AB23" s="381"/>
      <c r="AC23" s="381"/>
      <c r="AD23" s="381"/>
      <c r="AE23" s="381"/>
      <c r="AF23" s="307"/>
      <c r="AG23" s="404"/>
      <c r="AH23" s="387">
        <f>IF($D$3="DFG",AF20*AF22,IF(X22=1,AF20*AF22,AF20*AF21))</f>
        <v>0</v>
      </c>
      <c r="AI23" s="37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</row>
    <row r="24" spans="2:54" x14ac:dyDescent="0.35">
      <c r="B24" s="303"/>
      <c r="C24" s="307"/>
      <c r="D24" s="315" t="s">
        <v>76</v>
      </c>
      <c r="E24" s="316">
        <v>3</v>
      </c>
      <c r="F24" s="270"/>
      <c r="G24" s="323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v>0</v>
      </c>
      <c r="M24" s="324">
        <v>0</v>
      </c>
      <c r="N24" s="324">
        <v>0</v>
      </c>
      <c r="O24" s="239"/>
      <c r="P24" s="51"/>
      <c r="Q24" s="234">
        <f>SUM(G24:N24)</f>
        <v>0</v>
      </c>
      <c r="R24" s="240">
        <f>Q24*F26</f>
        <v>0</v>
      </c>
      <c r="S24" s="4"/>
      <c r="T24" s="303"/>
      <c r="U24" s="985" t="str">
        <f>CONCATENATE(D25," ",E25,", TV-L ",D24," Stufe ",E24)</f>
        <v>NN , TV-L E 13 Stufe 3</v>
      </c>
      <c r="V24" s="985"/>
      <c r="W24" s="986" t="s">
        <v>268</v>
      </c>
      <c r="X24" s="987"/>
      <c r="Y24" s="377">
        <f>IF($D$3="DFG",(G24+H24),IF($X26=1,(G24+H24),(G24+H24)*ROUND($X26*$U$3/12,2)))</f>
        <v>0</v>
      </c>
      <c r="Z24" s="377">
        <f>IF($D$3="DFG",I24,IF($X26=1,I24,I24*ROUND($X26*$U$3/12,2)))</f>
        <v>0</v>
      </c>
      <c r="AA24" s="377">
        <f t="shared" ref="AA24" si="31">IF($D$3="DFG",J24,IF($X26=1,J24,J24*ROUND($X26*$U$3/12,2)))</f>
        <v>0</v>
      </c>
      <c r="AB24" s="377">
        <f t="shared" ref="AB24" si="32">IF($D$3="DFG",K24,IF($X26=1,K24,K24*ROUND($X26*$U$3/12,2)))</f>
        <v>0</v>
      </c>
      <c r="AC24" s="377">
        <f t="shared" ref="AC24" si="33">IF($D$3="DFG",L24,IF($X26=1,L24,L24*ROUND($X26*$U$3/12,2)))</f>
        <v>0</v>
      </c>
      <c r="AD24" s="377">
        <f t="shared" ref="AD24" si="34">IF($D$3="DFG",M24,IF($X26=1,M24,M24*ROUND($X26*$U$3/12,2)))</f>
        <v>0</v>
      </c>
      <c r="AE24" s="377">
        <f t="shared" ref="AE24" si="35">IF($D$3="DFG",N24,IF($X26=1,N24,N24*ROUND($X26*$U$3/12,2)))</f>
        <v>0</v>
      </c>
      <c r="AF24" s="377">
        <f>IF($D$3="DFG",Q24,IF(X26=1,Q24,Q24*ROUND(X26*$U$3/12,2)))</f>
        <v>0</v>
      </c>
      <c r="AG24" s="402" t="str">
        <f>IF($D$3="DFG","KM",IF(X26=1,"KM","h gesamt"))</f>
        <v>KM</v>
      </c>
      <c r="AH24" s="376"/>
      <c r="AI24" s="37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</row>
    <row r="25" spans="2:54" x14ac:dyDescent="0.35">
      <c r="B25" s="303"/>
      <c r="C25" s="307"/>
      <c r="D25" s="317" t="s">
        <v>218</v>
      </c>
      <c r="E25" s="318"/>
      <c r="F25" s="273" t="str">
        <f>IF(D25="Name:","@FoFö: ggf. PK korrigieren", "")</f>
        <v/>
      </c>
      <c r="G25" s="269">
        <f>IF($F26=0,0,INDEX(Tabelle!$A$4:$S$118,$E27,G$10))</f>
        <v>0</v>
      </c>
      <c r="H25" s="269">
        <f>IF($F26=0,0,INDEX(Tabelle!$A$4:$S$118,$E27,H$10))</f>
        <v>0</v>
      </c>
      <c r="I25" s="269">
        <f>IF($F26=0,0,INDEX(Tabelle!$A$4:$S$118,$E27,I$10))</f>
        <v>0</v>
      </c>
      <c r="J25" s="269">
        <f>IF($F26=0,0,INDEX(Tabelle!$A$4:$S$118,$E27,J$10))</f>
        <v>0</v>
      </c>
      <c r="K25" s="269">
        <f>IF($F26=0,0,INDEX(Tabelle!$A$4:$S$118,$E27,K$10))</f>
        <v>0</v>
      </c>
      <c r="L25" s="269">
        <f>IF($F26=0,0,INDEX(Tabelle!$A$4:$S$118,$E27,L$10))</f>
        <v>0</v>
      </c>
      <c r="M25" s="269">
        <f>IF($F26=0,0,INDEX(Tabelle!$A$4:$S$118,$E27,M$10))</f>
        <v>0</v>
      </c>
      <c r="N25" s="269">
        <f>IF($F26=0,0,INDEX(Tabelle!$A$4:$S$118,$E27,N$10))</f>
        <v>0</v>
      </c>
      <c r="O25" s="214"/>
      <c r="P25" s="264">
        <f>IF(SUM(G24:N24)=0,0,SUMPRODUCT(G24:N24,G25:N25)/SUM(G24:N24))</f>
        <v>0</v>
      </c>
      <c r="Q25" s="3"/>
      <c r="R25" s="241"/>
      <c r="S25" s="4"/>
      <c r="T25" s="303"/>
      <c r="U25" s="351"/>
      <c r="V25" s="405" t="s">
        <v>273</v>
      </c>
      <c r="W25" s="406">
        <f>MATCH($W24,'Infos FoFö'!$B$153:$B$169,0)</f>
        <v>14</v>
      </c>
      <c r="X25" s="381"/>
      <c r="Y25" s="381"/>
      <c r="Z25" s="381"/>
      <c r="AA25" s="381"/>
      <c r="AB25" s="381"/>
      <c r="AC25" s="381"/>
      <c r="AD25" s="381"/>
      <c r="AE25" s="381"/>
      <c r="AF25" s="382">
        <f>IF($D$3="DFG",IF(W25&lt;&gt;17,INDEX('Infos FoFö'!$B$153:$C$169,W25,2),G25),IF(X26=1,INDEX('Infos FoFö'!$B$153:$C$169,W25,2),INDEX('Infos FoFö'!$B$153:$D$169,W25,3)))</f>
        <v>5975</v>
      </c>
      <c r="AG25" s="403"/>
      <c r="AH25" s="400" t="str">
        <f>IF(AF24&lt;&gt;0,IF(NOT(ISERROR(SEARCH($D$3,W24,1))),"","Zuordnung prüfen"),"")</f>
        <v/>
      </c>
      <c r="AI25" s="37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</row>
    <row r="26" spans="2:54" x14ac:dyDescent="0.35">
      <c r="B26" s="303"/>
      <c r="C26" s="307"/>
      <c r="D26" s="260" t="s">
        <v>149</v>
      </c>
      <c r="E26" s="261">
        <f>IF(D24='Infos FoFö'!$C$99,1,IF(D24='Infos FoFö'!$C$100,2,IF(D24='Infos FoFö'!$C$101,3,IF(D24='Infos FoFö'!$C$102,4,IF(D24='Infos FoFö'!$C$103,5,IF(D24='Infos FoFö'!$C$104,6,IF(D24='Infos FoFö'!$C$105,7,IF(D24='Infos FoFö'!$C$106,8,IF(D24='Infos FoFö'!$C$107,9,IF(D24='Infos FoFö'!$C$108,10,IF(D24='Infos FoFö'!$C$109,11,IF(D24='Infos FoFö'!$C$110,12,IF(D24='Infos FoFö'!$C$111,13,IF(D24='Infos FoFö'!$C$112,14,IF(D24='Infos FoFö'!$C$113,15,IF(D24='Infos FoFö'!$C$114,16,IF(D24='Infos FoFö'!$C$115,17,IF(D24='Infos FoFö'!$C$116,18,IF(D24='Infos FoFö'!$C$117,19,"Fehler")))))))))))))))))))</f>
        <v>5</v>
      </c>
      <c r="F26" s="321">
        <v>0</v>
      </c>
      <c r="G26" s="216">
        <f>G25*$F26</f>
        <v>0</v>
      </c>
      <c r="H26" s="216">
        <f t="shared" ref="H26:N26" si="36">H25*$F26</f>
        <v>0</v>
      </c>
      <c r="I26" s="216">
        <f t="shared" si="36"/>
        <v>0</v>
      </c>
      <c r="J26" s="216">
        <f t="shared" si="36"/>
        <v>0</v>
      </c>
      <c r="K26" s="216">
        <f t="shared" si="36"/>
        <v>0</v>
      </c>
      <c r="L26" s="216">
        <f t="shared" si="36"/>
        <v>0</v>
      </c>
      <c r="M26" s="216">
        <f t="shared" si="36"/>
        <v>0</v>
      </c>
      <c r="N26" s="216">
        <f t="shared" si="36"/>
        <v>0</v>
      </c>
      <c r="O26" s="207"/>
      <c r="P26" s="4"/>
      <c r="Q26" s="3"/>
      <c r="R26" s="241"/>
      <c r="S26" s="4"/>
      <c r="T26" s="303"/>
      <c r="U26" s="351"/>
      <c r="V26" s="307"/>
      <c r="W26" s="381"/>
      <c r="X26" s="385">
        <f>F26</f>
        <v>0</v>
      </c>
      <c r="Y26" s="639">
        <f>Y24*$AF25</f>
        <v>0</v>
      </c>
      <c r="Z26" s="639">
        <f t="shared" ref="Z26" si="37">Z24*$AF25</f>
        <v>0</v>
      </c>
      <c r="AA26" s="639">
        <f t="shared" ref="AA26" si="38">AA24*$AF25</f>
        <v>0</v>
      </c>
      <c r="AB26" s="639">
        <f t="shared" ref="AB26" si="39">AB24*$AF25</f>
        <v>0</v>
      </c>
      <c r="AC26" s="639">
        <f t="shared" ref="AC26" si="40">AC24*$AF25</f>
        <v>0</v>
      </c>
      <c r="AD26" s="639">
        <f t="shared" ref="AD26" si="41">AD24*$AF25</f>
        <v>0</v>
      </c>
      <c r="AE26" s="639">
        <f t="shared" ref="AE26" si="42">AE24*$AF25</f>
        <v>0</v>
      </c>
      <c r="AF26" s="382">
        <f>IF($D$3="DFG",X26*AF25,IF(X26=1,X26*AF25,0))</f>
        <v>0</v>
      </c>
      <c r="AG26" s="403"/>
      <c r="AH26" s="378"/>
      <c r="AI26" s="37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</row>
    <row r="27" spans="2:54" ht="15" thickBot="1" x14ac:dyDescent="0.4">
      <c r="B27" s="303"/>
      <c r="C27" s="307"/>
      <c r="D27" s="260" t="s">
        <v>159</v>
      </c>
      <c r="E27" s="265">
        <f>2+(E26-1)*6+(6-E24)</f>
        <v>29</v>
      </c>
      <c r="F27" s="794" t="s">
        <v>667</v>
      </c>
      <c r="G27" s="235">
        <f>G24*G26</f>
        <v>0</v>
      </c>
      <c r="H27" s="235">
        <f t="shared" ref="H27:N27" si="43">H24*H26</f>
        <v>0</v>
      </c>
      <c r="I27" s="235">
        <f t="shared" si="43"/>
        <v>0</v>
      </c>
      <c r="J27" s="235">
        <f t="shared" si="43"/>
        <v>0</v>
      </c>
      <c r="K27" s="235">
        <f t="shared" si="43"/>
        <v>0</v>
      </c>
      <c r="L27" s="235">
        <f t="shared" si="43"/>
        <v>0</v>
      </c>
      <c r="M27" s="235">
        <f t="shared" si="43"/>
        <v>0</v>
      </c>
      <c r="N27" s="235">
        <f t="shared" si="43"/>
        <v>0</v>
      </c>
      <c r="O27" s="236">
        <f>SUM(G27:N27)</f>
        <v>0</v>
      </c>
      <c r="P27" s="237"/>
      <c r="Q27" s="237"/>
      <c r="R27" s="238"/>
      <c r="S27" s="4"/>
      <c r="T27" s="303"/>
      <c r="U27" s="307"/>
      <c r="V27" s="307"/>
      <c r="W27" s="307"/>
      <c r="X27" s="373"/>
      <c r="Y27" s="373"/>
      <c r="Z27" s="373"/>
      <c r="AA27" s="373"/>
      <c r="AB27" s="373"/>
      <c r="AC27" s="373"/>
      <c r="AD27" s="373"/>
      <c r="AE27" s="373"/>
      <c r="AF27" s="307"/>
      <c r="AG27" s="404"/>
      <c r="AH27" s="387">
        <f>IF($D$3="DFG",AF24*AF26,IF(X26=1,AF24*AF26,AF24*AF25))</f>
        <v>0</v>
      </c>
      <c r="AI27" s="37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</row>
    <row r="28" spans="2:54" x14ac:dyDescent="0.35">
      <c r="B28" s="303"/>
      <c r="C28" s="307"/>
      <c r="D28" s="315" t="s">
        <v>76</v>
      </c>
      <c r="E28" s="316">
        <v>2</v>
      </c>
      <c r="F28" s="97"/>
      <c r="G28" s="323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0</v>
      </c>
      <c r="M28" s="324">
        <v>0</v>
      </c>
      <c r="N28" s="324">
        <v>0</v>
      </c>
      <c r="O28" s="239"/>
      <c r="P28" s="51"/>
      <c r="Q28" s="234">
        <f>SUM(G28:N28)</f>
        <v>0</v>
      </c>
      <c r="R28" s="240">
        <f>Q28*F30</f>
        <v>0</v>
      </c>
      <c r="S28" s="4"/>
      <c r="T28" s="303"/>
      <c r="U28" s="985" t="str">
        <f>CONCATENATE(D29," ",E29,", TV-L ",D28," Stufe ",E28)</f>
        <v>NN , TV-L E 13 Stufe 2</v>
      </c>
      <c r="V28" s="985"/>
      <c r="W28" s="986" t="s">
        <v>268</v>
      </c>
      <c r="X28" s="987"/>
      <c r="Y28" s="377">
        <f>IF($D$3="DFG",(G28+H28),IF($X30=1,(G28+H28),(G28+H28)*ROUND($X30*$U$3/12,2)))</f>
        <v>0</v>
      </c>
      <c r="Z28" s="377">
        <f>IF($D$3="DFG",I28,IF($X30=1,I28,I28*ROUND($X30*$U$3/12,2)))</f>
        <v>0</v>
      </c>
      <c r="AA28" s="377">
        <f t="shared" ref="AA28" si="44">IF($D$3="DFG",J28,IF($X30=1,J28,J28*ROUND($X30*$U$3/12,2)))</f>
        <v>0</v>
      </c>
      <c r="AB28" s="377">
        <f t="shared" ref="AB28" si="45">IF($D$3="DFG",K28,IF($X30=1,K28,K28*ROUND($X30*$U$3/12,2)))</f>
        <v>0</v>
      </c>
      <c r="AC28" s="377">
        <f t="shared" ref="AC28" si="46">IF($D$3="DFG",L28,IF($X30=1,L28,L28*ROUND($X30*$U$3/12,2)))</f>
        <v>0</v>
      </c>
      <c r="AD28" s="377">
        <f t="shared" ref="AD28" si="47">IF($D$3="DFG",M28,IF($X30=1,M28,M28*ROUND($X30*$U$3/12,2)))</f>
        <v>0</v>
      </c>
      <c r="AE28" s="377">
        <f t="shared" ref="AE28" si="48">IF($D$3="DFG",N28,IF($X30=1,N28,N28*ROUND($X30*$U$3/12,2)))</f>
        <v>0</v>
      </c>
      <c r="AF28" s="377">
        <f>IF($D$3="DFG",Q28,IF(X30=1,Q28,Q28*ROUND(X30*$U$3/12,2)))</f>
        <v>0</v>
      </c>
      <c r="AG28" s="402" t="str">
        <f>IF($D$3="DFG","KM",IF(X30=1,"KM","h gesamt"))</f>
        <v>KM</v>
      </c>
      <c r="AH28" s="376"/>
      <c r="AI28" s="37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</row>
    <row r="29" spans="2:54" x14ac:dyDescent="0.35">
      <c r="B29" s="303"/>
      <c r="C29" s="307"/>
      <c r="D29" s="317" t="s">
        <v>218</v>
      </c>
      <c r="E29" s="318"/>
      <c r="F29" s="273" t="str">
        <f>IF(D29="Name:","@FoFö: ggf. PK korrigieren", "")</f>
        <v/>
      </c>
      <c r="G29" s="269">
        <f>IF($F30=0,0,INDEX(Tabelle!$A$4:$S$118,$E31,G$10))</f>
        <v>0</v>
      </c>
      <c r="H29" s="269">
        <f>IF($F30=0,0,INDEX(Tabelle!$A$4:$S$118,$E31,H$10))</f>
        <v>0</v>
      </c>
      <c r="I29" s="269">
        <f>IF($F30=0,0,INDEX(Tabelle!$A$4:$S$118,$E31,I$10))</f>
        <v>0</v>
      </c>
      <c r="J29" s="269">
        <f>IF($F30=0,0,INDEX(Tabelle!$A$4:$S$118,$E31,J$10))</f>
        <v>0</v>
      </c>
      <c r="K29" s="269">
        <f>IF($F30=0,0,INDEX(Tabelle!$A$4:$S$118,$E31,K$10))</f>
        <v>0</v>
      </c>
      <c r="L29" s="269">
        <f>IF($F30=0,0,INDEX(Tabelle!$A$4:$S$118,$E31,L$10))</f>
        <v>0</v>
      </c>
      <c r="M29" s="269">
        <f>IF($F30=0,0,INDEX(Tabelle!$A$4:$S$118,$E31,M$10))</f>
        <v>0</v>
      </c>
      <c r="N29" s="269">
        <f>IF($F30=0,0,INDEX(Tabelle!$A$4:$S$118,$E31,N$10))</f>
        <v>0</v>
      </c>
      <c r="O29" s="214"/>
      <c r="P29" s="264">
        <f>IF(SUM(G28:N28)=0,0,SUMPRODUCT(G28:N28,G29:N29)/SUM(G28:N28))</f>
        <v>0</v>
      </c>
      <c r="Q29" s="3"/>
      <c r="R29" s="241"/>
      <c r="S29" s="4"/>
      <c r="T29" s="303"/>
      <c r="U29" s="307"/>
      <c r="V29" s="405" t="s">
        <v>273</v>
      </c>
      <c r="W29" s="406">
        <f>MATCH($W28,'Infos FoFö'!$B$153:$B$169,0)</f>
        <v>14</v>
      </c>
      <c r="X29" s="381"/>
      <c r="Y29" s="381"/>
      <c r="Z29" s="381"/>
      <c r="AA29" s="381"/>
      <c r="AB29" s="381"/>
      <c r="AC29" s="381"/>
      <c r="AD29" s="381"/>
      <c r="AE29" s="381"/>
      <c r="AF29" s="382">
        <f>IF($D$3="DFG",IF(W29&lt;&gt;17,INDEX('Infos FoFö'!$B$153:$C$169,W29,2),G29),IF(X30=1,INDEX('Infos FoFö'!$B$153:$C$169,W29,2),INDEX('Infos FoFö'!$B$153:$D$169,W29,3)))</f>
        <v>5975</v>
      </c>
      <c r="AG29" s="403"/>
      <c r="AH29" s="400" t="str">
        <f>IF(AF28&lt;&gt;0,IF(NOT(ISERROR(SEARCH($D$3,W28,1))),"","Zuordnung prüfen"),"")</f>
        <v/>
      </c>
      <c r="AI29" s="37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</row>
    <row r="30" spans="2:54" x14ac:dyDescent="0.35">
      <c r="B30" s="303"/>
      <c r="C30" s="307"/>
      <c r="D30" s="266" t="s">
        <v>149</v>
      </c>
      <c r="E30" s="261">
        <f>IF(D28='Infos FoFö'!$C$99,1,IF(D28='Infos FoFö'!$C$100,2,IF(D28='Infos FoFö'!$C$101,3,IF(D28='Infos FoFö'!$C$102,4,IF(D28='Infos FoFö'!$C$103,5,IF(D28='Infos FoFö'!$C$104,6,IF(D28='Infos FoFö'!$C$105,7,IF(D28='Infos FoFö'!$C$106,8,IF(D28='Infos FoFö'!$C$107,9,IF(D28='Infos FoFö'!$C$108,10,IF(D28='Infos FoFö'!$C$109,11,IF(D28='Infos FoFö'!$C$110,12,IF(D28='Infos FoFö'!$C$111,13,IF(D28='Infos FoFö'!$C$112,14,IF(D28='Infos FoFö'!$C$113,15,IF(D28='Infos FoFö'!$C$114,16,IF(D28='Infos FoFö'!$C$115,17,IF(D28='Infos FoFö'!$C$116,18,IF(D28='Infos FoFö'!$C$117,19,"Fehler")))))))))))))))))))</f>
        <v>5</v>
      </c>
      <c r="F30" s="321">
        <v>0</v>
      </c>
      <c r="G30" s="216">
        <f>G29*$F30</f>
        <v>0</v>
      </c>
      <c r="H30" s="216">
        <f t="shared" ref="H30:N30" si="49">H29*$F30</f>
        <v>0</v>
      </c>
      <c r="I30" s="216">
        <f t="shared" si="49"/>
        <v>0</v>
      </c>
      <c r="J30" s="216">
        <f t="shared" si="49"/>
        <v>0</v>
      </c>
      <c r="K30" s="216">
        <f t="shared" si="49"/>
        <v>0</v>
      </c>
      <c r="L30" s="216">
        <f t="shared" si="49"/>
        <v>0</v>
      </c>
      <c r="M30" s="216">
        <f t="shared" si="49"/>
        <v>0</v>
      </c>
      <c r="N30" s="216">
        <f t="shared" si="49"/>
        <v>0</v>
      </c>
      <c r="O30" s="207"/>
      <c r="P30" s="4"/>
      <c r="Q30" s="3"/>
      <c r="R30" s="241"/>
      <c r="S30" s="4"/>
      <c r="T30" s="303"/>
      <c r="U30" s="307"/>
      <c r="V30" s="307"/>
      <c r="W30" s="381"/>
      <c r="X30" s="385">
        <f>F30</f>
        <v>0</v>
      </c>
      <c r="Y30" s="639">
        <f>Y28*$AF29</f>
        <v>0</v>
      </c>
      <c r="Z30" s="639">
        <f t="shared" ref="Z30" si="50">Z28*$AF29</f>
        <v>0</v>
      </c>
      <c r="AA30" s="639">
        <f t="shared" ref="AA30" si="51">AA28*$AF29</f>
        <v>0</v>
      </c>
      <c r="AB30" s="639">
        <f t="shared" ref="AB30" si="52">AB28*$AF29</f>
        <v>0</v>
      </c>
      <c r="AC30" s="639">
        <f t="shared" ref="AC30" si="53">AC28*$AF29</f>
        <v>0</v>
      </c>
      <c r="AD30" s="639">
        <f t="shared" ref="AD30" si="54">AD28*$AF29</f>
        <v>0</v>
      </c>
      <c r="AE30" s="639">
        <f t="shared" ref="AE30" si="55">AE28*$AF29</f>
        <v>0</v>
      </c>
      <c r="AF30" s="382">
        <f>IF($D$3="DFG",X30*AF29,IF(X30=1,X30*AF29,0))</f>
        <v>0</v>
      </c>
      <c r="AG30" s="403"/>
      <c r="AH30" s="378"/>
      <c r="AI30" s="37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</row>
    <row r="31" spans="2:54" ht="15" thickBot="1" x14ac:dyDescent="0.4">
      <c r="B31" s="303"/>
      <c r="C31" s="307"/>
      <c r="D31" s="271" t="s">
        <v>159</v>
      </c>
      <c r="E31" s="272">
        <f>2+(E30-1)*6+(6-E28)</f>
        <v>30</v>
      </c>
      <c r="F31" s="794" t="s">
        <v>667</v>
      </c>
      <c r="G31" s="235">
        <f>G28*G30</f>
        <v>0</v>
      </c>
      <c r="H31" s="235">
        <f t="shared" ref="H31:N31" si="56">H28*H30</f>
        <v>0</v>
      </c>
      <c r="I31" s="235">
        <f t="shared" si="56"/>
        <v>0</v>
      </c>
      <c r="J31" s="235">
        <f t="shared" si="56"/>
        <v>0</v>
      </c>
      <c r="K31" s="235">
        <f t="shared" si="56"/>
        <v>0</v>
      </c>
      <c r="L31" s="235">
        <f t="shared" si="56"/>
        <v>0</v>
      </c>
      <c r="M31" s="235">
        <f t="shared" si="56"/>
        <v>0</v>
      </c>
      <c r="N31" s="235">
        <f t="shared" si="56"/>
        <v>0</v>
      </c>
      <c r="O31" s="236">
        <f>SUM(G31:N31)</f>
        <v>0</v>
      </c>
      <c r="P31" s="237"/>
      <c r="Q31" s="237"/>
      <c r="R31" s="238"/>
      <c r="S31" s="4"/>
      <c r="T31" s="303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404"/>
      <c r="AH31" s="387">
        <f>IF($D$3="DFG",AF28*AF30,IF(X30=1,AF28*AF30,AF28*AF29))</f>
        <v>0</v>
      </c>
      <c r="AI31" s="37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</row>
    <row r="32" spans="2:54" x14ac:dyDescent="0.35">
      <c r="B32" s="303"/>
      <c r="C32" s="307"/>
      <c r="D32" s="322" t="s">
        <v>50</v>
      </c>
      <c r="E32" s="213" t="s">
        <v>197</v>
      </c>
      <c r="F32" s="826">
        <v>0</v>
      </c>
      <c r="G32" s="844">
        <v>0</v>
      </c>
      <c r="H32" s="844">
        <v>0</v>
      </c>
      <c r="I32" s="324">
        <v>0</v>
      </c>
      <c r="J32" s="324">
        <v>0</v>
      </c>
      <c r="K32" s="324">
        <v>0</v>
      </c>
      <c r="L32" s="324">
        <v>0</v>
      </c>
      <c r="M32" s="324">
        <v>0</v>
      </c>
      <c r="N32" s="324">
        <v>0</v>
      </c>
      <c r="O32" s="242"/>
      <c r="P32" s="452"/>
      <c r="Q32" s="234">
        <f>SUM(G32:N32)</f>
        <v>0</v>
      </c>
      <c r="R32" s="240">
        <f>Q32*F33</f>
        <v>0</v>
      </c>
      <c r="S32" s="4"/>
      <c r="T32" s="303"/>
      <c r="U32" s="989" t="str">
        <f>CONCATENATE(D32,": ",F32," ",E32)</f>
        <v>SHK: 0 h/Woche</v>
      </c>
      <c r="V32" s="989"/>
      <c r="W32" s="986" t="s">
        <v>271</v>
      </c>
      <c r="X32" s="987"/>
      <c r="Y32" s="377">
        <f>IF($D$3="DFG",H32,IF($X34=1,H32,H32*ROUND($X34*$U$3/12,2)))</f>
        <v>0</v>
      </c>
      <c r="Z32" s="377">
        <f>IF($D$3="DFG",I32,IF($X34=1,I32,I32*ROUND($X34*$U$3/12,2)))</f>
        <v>0</v>
      </c>
      <c r="AA32" s="377">
        <f t="shared" ref="AA32:AE32" si="57">IF($D$3="DFG",J32,IF($X34=1,J32,J32*ROUND($X34*$U$3/12,2)))</f>
        <v>0</v>
      </c>
      <c r="AB32" s="377">
        <f t="shared" si="57"/>
        <v>0</v>
      </c>
      <c r="AC32" s="377">
        <f t="shared" si="57"/>
        <v>0</v>
      </c>
      <c r="AD32" s="377">
        <f t="shared" si="57"/>
        <v>0</v>
      </c>
      <c r="AE32" s="377">
        <f t="shared" si="57"/>
        <v>0</v>
      </c>
      <c r="AF32" s="377">
        <f>IF($D$3="DFG",Q32,IF(X34=1,Q32,Q32*ROUND(X34*$U$3/12,2)))</f>
        <v>0</v>
      </c>
      <c r="AG32" s="402" t="str">
        <f>IF($D$3="DFG","KM",IF(X34=1,"KM","h gesamt"))</f>
        <v>KM</v>
      </c>
      <c r="AH32" s="307"/>
      <c r="AI32" s="37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</row>
    <row r="33" spans="2:54" x14ac:dyDescent="0.35">
      <c r="B33" s="303"/>
      <c r="C33" s="307"/>
      <c r="D33" s="243"/>
      <c r="E33" s="213"/>
      <c r="F33" s="827">
        <f>F32/39.83</f>
        <v>0</v>
      </c>
      <c r="G33" s="823">
        <f>IF(D32="SHK",'Infos FoFö'!$D$40,'Infos FoFö'!$C$40)*(1+IF((F32*'Infos FoFö'!$C$49*IF(D32="SHK",'Infos FoFö'!$D$40,'Infos FoFö'!$C$40))&gt;='Infos FoFö'!$C$44,'Infos FoFö'!$C$42,'Infos FoFö'!$C$43))*F32*'Infos FoFö'!$C$49</f>
        <v>0</v>
      </c>
      <c r="H33" s="823">
        <f>IF(D32="SHK",'Infos FoFö'!$D$41,'Infos FoFö'!$C$41)*(1+IF((F32*'Infos FoFö'!$C$49*IF(D32="SHK",'Infos FoFö'!$D$41,'Infos FoFö'!$C$41))&gt;='Infos FoFö'!$C$44,'Infos FoFö'!$C$42,'Infos FoFö'!$C$43))*F32*'Infos FoFö'!$C$49</f>
        <v>0</v>
      </c>
      <c r="I33" s="264">
        <f>G33</f>
        <v>0</v>
      </c>
      <c r="J33" s="215">
        <f t="shared" ref="J33:L33" si="58">I33</f>
        <v>0</v>
      </c>
      <c r="K33" s="215">
        <f t="shared" si="58"/>
        <v>0</v>
      </c>
      <c r="L33" s="215">
        <f t="shared" si="58"/>
        <v>0</v>
      </c>
      <c r="M33" s="215">
        <f>L33</f>
        <v>0</v>
      </c>
      <c r="N33" s="267">
        <f>M33</f>
        <v>0</v>
      </c>
      <c r="O33" s="212"/>
      <c r="P33" s="264">
        <f>IF(SUM(G32:N32)=0,0,SUMPRODUCT(G32:N32,G33:N33)/SUM(G32:N32))</f>
        <v>0</v>
      </c>
      <c r="Q33" s="3"/>
      <c r="R33" s="241"/>
      <c r="S33" s="4"/>
      <c r="T33" s="303"/>
      <c r="U33" s="307"/>
      <c r="V33" s="405" t="s">
        <v>273</v>
      </c>
      <c r="W33" s="406">
        <f>MATCH($W32,'Infos FoFö'!$B$153:$B$169,0)</f>
        <v>17</v>
      </c>
      <c r="X33" s="381"/>
      <c r="Y33" s="381"/>
      <c r="Z33" s="381"/>
      <c r="AA33" s="381"/>
      <c r="AB33" s="381"/>
      <c r="AC33" s="381"/>
      <c r="AD33" s="381"/>
      <c r="AE33" s="381"/>
      <c r="AF33" s="382">
        <f>IF($D$3="DFG",IF(W33&lt;&gt;17,INDEX('Infos FoFö'!$B$153:$C$169,W33,2),G33),IF(X34=1,INDEX('Infos FoFö'!$B$153:$C$169,W33,2),INDEX('Infos FoFö'!$B$153:$D$169,W33,3)))</f>
        <v>0</v>
      </c>
      <c r="AG33" s="403"/>
      <c r="AH33" s="400" t="str">
        <f>IF(AF32&lt;&gt;0,IF(NOT(ISERROR(SEARCH($D$3,W32,1))),"","Zuordnung prüfen"),"")</f>
        <v/>
      </c>
      <c r="AI33" s="37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</row>
    <row r="34" spans="2:54" ht="15" thickBot="1" x14ac:dyDescent="0.4">
      <c r="B34" s="303"/>
      <c r="C34" s="307"/>
      <c r="D34" s="244"/>
      <c r="E34" s="792"/>
      <c r="F34" s="794" t="s">
        <v>668</v>
      </c>
      <c r="G34" s="845">
        <f>G32*G33</f>
        <v>0</v>
      </c>
      <c r="H34" s="845">
        <f>H32*H33</f>
        <v>0</v>
      </c>
      <c r="I34" s="611">
        <f t="shared" ref="I34:L34" si="59">I32*I33</f>
        <v>0</v>
      </c>
      <c r="J34" s="235">
        <f t="shared" si="59"/>
        <v>0</v>
      </c>
      <c r="K34" s="235">
        <f t="shared" si="59"/>
        <v>0</v>
      </c>
      <c r="L34" s="235">
        <f t="shared" si="59"/>
        <v>0</v>
      </c>
      <c r="M34" s="235"/>
      <c r="N34" s="235">
        <f>N32*M33</f>
        <v>0</v>
      </c>
      <c r="O34" s="236">
        <f>SUM(G34:N34)</f>
        <v>0</v>
      </c>
      <c r="P34" s="237"/>
      <c r="Q34" s="237"/>
      <c r="R34" s="238"/>
      <c r="S34" s="4"/>
      <c r="T34" s="303"/>
      <c r="U34" s="307"/>
      <c r="V34" s="307"/>
      <c r="W34" s="381"/>
      <c r="X34" s="385">
        <f>F33</f>
        <v>0</v>
      </c>
      <c r="Y34" s="640">
        <f t="shared" ref="Y34:AE34" si="60">IF($D$3="DFG",Y32*$AF33,Y32*$AF33)</f>
        <v>0</v>
      </c>
      <c r="Z34" s="640">
        <f t="shared" si="60"/>
        <v>0</v>
      </c>
      <c r="AA34" s="640">
        <f t="shared" si="60"/>
        <v>0</v>
      </c>
      <c r="AB34" s="640">
        <f t="shared" si="60"/>
        <v>0</v>
      </c>
      <c r="AC34" s="640">
        <f t="shared" si="60"/>
        <v>0</v>
      </c>
      <c r="AD34" s="640">
        <f t="shared" si="60"/>
        <v>0</v>
      </c>
      <c r="AE34" s="640">
        <f t="shared" si="60"/>
        <v>0</v>
      </c>
      <c r="AF34" s="386"/>
      <c r="AG34" s="404"/>
      <c r="AH34" s="387">
        <f>IF($D$3="DFG",AF32*AF33,IF(X34=1,AF32*AF33,AF32*AF33))</f>
        <v>0</v>
      </c>
      <c r="AI34" s="37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</row>
    <row r="35" spans="2:54" x14ac:dyDescent="0.35">
      <c r="B35" s="303"/>
      <c r="C35" s="307"/>
      <c r="D35" s="322" t="s">
        <v>14</v>
      </c>
      <c r="E35" s="213" t="s">
        <v>197</v>
      </c>
      <c r="F35" s="851">
        <v>0</v>
      </c>
      <c r="G35" s="844">
        <v>0</v>
      </c>
      <c r="H35" s="844">
        <v>0</v>
      </c>
      <c r="I35" s="324">
        <v>0</v>
      </c>
      <c r="J35" s="324">
        <v>0</v>
      </c>
      <c r="K35" s="324">
        <v>0</v>
      </c>
      <c r="L35" s="324">
        <v>0</v>
      </c>
      <c r="M35" s="324">
        <v>0</v>
      </c>
      <c r="N35" s="324">
        <v>0</v>
      </c>
      <c r="O35" s="242"/>
      <c r="P35" s="452"/>
      <c r="Q35" s="234">
        <f>SUM(G35:N35)</f>
        <v>0</v>
      </c>
      <c r="R35" s="240">
        <f>Q35*F36</f>
        <v>0</v>
      </c>
      <c r="S35" s="4"/>
      <c r="T35" s="303"/>
      <c r="U35" s="989" t="str">
        <f>CONCATENATE(D35,": ",F35," ",E35)</f>
        <v>WHK: 0 h/Woche</v>
      </c>
      <c r="V35" s="989"/>
      <c r="W35" s="986" t="s">
        <v>271</v>
      </c>
      <c r="X35" s="987"/>
      <c r="Y35" s="377">
        <f>IF($D$3="DFG",H35,IF($X37=1,H35,H35*ROUND($X37*$U$3/12,2)))</f>
        <v>0</v>
      </c>
      <c r="Z35" s="377">
        <f>IF($D$3="DFG",I35,IF($X37=1,I35,I35*ROUND($X37*$U$3/12,2)))</f>
        <v>0</v>
      </c>
      <c r="AA35" s="377">
        <f t="shared" ref="AA35" si="61">IF($D$3="DFG",J35,IF($X37=1,J35,J35*ROUND($X37*$U$3/12,2)))</f>
        <v>0</v>
      </c>
      <c r="AB35" s="377">
        <f t="shared" ref="AB35" si="62">IF($D$3="DFG",K35,IF($X37=1,K35,K35*ROUND($X37*$U$3/12,2)))</f>
        <v>0</v>
      </c>
      <c r="AC35" s="377">
        <f t="shared" ref="AC35" si="63">IF($D$3="DFG",L35,IF($X37=1,L35,L35*ROUND($X37*$U$3/12,2)))</f>
        <v>0</v>
      </c>
      <c r="AD35" s="377">
        <f t="shared" ref="AD35" si="64">IF($D$3="DFG",M35,IF($X37=1,M35,M35*ROUND($X37*$U$3/12,2)))</f>
        <v>0</v>
      </c>
      <c r="AE35" s="377">
        <f t="shared" ref="AE35" si="65">IF($D$3="DFG",N35,IF($X37=1,N35,N35*ROUND($X37*$U$3/12,2)))</f>
        <v>0</v>
      </c>
      <c r="AF35" s="377">
        <f>IF($D$3="DFG",Q35,IF(X37=1,Q35,Q35*ROUND(X37*$U$3/12,2)))</f>
        <v>0</v>
      </c>
      <c r="AG35" s="402" t="str">
        <f>IF($D$3="DFG","KM",IF(X37=1,"KM","h gesamt"))</f>
        <v>KM</v>
      </c>
      <c r="AH35" s="307"/>
      <c r="AI35" s="37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</row>
    <row r="36" spans="2:54" x14ac:dyDescent="0.35">
      <c r="B36" s="303"/>
      <c r="C36" s="307"/>
      <c r="D36" s="243"/>
      <c r="E36" s="213"/>
      <c r="F36" s="827">
        <f>F35/39.83</f>
        <v>0</v>
      </c>
      <c r="G36" s="823">
        <f>IF(D35="SHK",'Infos FoFö'!$D$40,'Infos FoFö'!$C$40)*(1+IF((F35*'Infos FoFö'!$C$49*IF(D35="SHK",'Infos FoFö'!$D$40,'Infos FoFö'!$C$40))&gt;='Infos FoFö'!$C$44,'Infos FoFö'!$C$42,'Infos FoFö'!$C$43))*F35*'Infos FoFö'!$C$49</f>
        <v>0</v>
      </c>
      <c r="H36" s="823">
        <f>IF(D35="SHK",'Infos FoFö'!$D$41,'Infos FoFö'!$C$41)*(1+IF((F35*'Infos FoFö'!$C$49*IF(D35="SHK",'Infos FoFö'!$D$41,'Infos FoFö'!$C$41))&gt;='Infos FoFö'!$C$44,'Infos FoFö'!$C$42,'Infos FoFö'!$C$43))*F35*'Infos FoFö'!$C$49</f>
        <v>0</v>
      </c>
      <c r="I36" s="215">
        <f>G36</f>
        <v>0</v>
      </c>
      <c r="J36" s="215">
        <f t="shared" ref="J36:L36" si="66">I36</f>
        <v>0</v>
      </c>
      <c r="K36" s="215">
        <f t="shared" si="66"/>
        <v>0</v>
      </c>
      <c r="L36" s="215">
        <f t="shared" si="66"/>
        <v>0</v>
      </c>
      <c r="M36" s="215">
        <f>L36</f>
        <v>0</v>
      </c>
      <c r="N36" s="215">
        <f>L36</f>
        <v>0</v>
      </c>
      <c r="O36" s="212"/>
      <c r="P36" s="264">
        <f>IF(SUM(G35:N35)=0,0,SUMPRODUCT(G35:N35,G36:N36)/SUM(G35:N35))</f>
        <v>0</v>
      </c>
      <c r="Q36" s="3"/>
      <c r="R36" s="241"/>
      <c r="S36" s="4"/>
      <c r="T36" s="303"/>
      <c r="U36" s="307"/>
      <c r="V36" s="405" t="s">
        <v>273</v>
      </c>
      <c r="W36" s="406">
        <f>MATCH($W35,'Infos FoFö'!$B$153:$B$169,0)</f>
        <v>17</v>
      </c>
      <c r="X36" s="381"/>
      <c r="Y36" s="381"/>
      <c r="Z36" s="381"/>
      <c r="AA36" s="381"/>
      <c r="AB36" s="381"/>
      <c r="AC36" s="381"/>
      <c r="AD36" s="381"/>
      <c r="AE36" s="381"/>
      <c r="AF36" s="382">
        <f>IF($D$3="DFG",IF(W36&lt;&gt;17,INDEX('Infos FoFö'!$B$153:$C$169,W36,2),G36),IF(X37=1,INDEX('Infos FoFö'!$B$153:$C$169,W36,2),INDEX('Infos FoFö'!$B$153:$D$169,W36,3)))</f>
        <v>0</v>
      </c>
      <c r="AG36" s="383"/>
      <c r="AH36" s="400" t="str">
        <f>IF(AF35&lt;&gt;0,IF(NOT(ISERROR(SEARCH($D$3,W35,1))),"","Zuordnung prüfen"),"")</f>
        <v/>
      </c>
      <c r="AI36" s="37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</row>
    <row r="37" spans="2:54" ht="15" thickBot="1" x14ac:dyDescent="0.4">
      <c r="B37" s="303"/>
      <c r="C37" s="307"/>
      <c r="D37" s="243"/>
      <c r="F37" s="794" t="s">
        <v>668</v>
      </c>
      <c r="G37" s="846">
        <f>G35*G36</f>
        <v>0</v>
      </c>
      <c r="H37" s="846">
        <f>H35*H36</f>
        <v>0</v>
      </c>
      <c r="I37" s="283">
        <f t="shared" ref="I37:N37" si="67">I35*I36</f>
        <v>0</v>
      </c>
      <c r="J37" s="283">
        <f t="shared" si="67"/>
        <v>0</v>
      </c>
      <c r="K37" s="283">
        <f t="shared" si="67"/>
        <v>0</v>
      </c>
      <c r="L37" s="283">
        <f t="shared" si="67"/>
        <v>0</v>
      </c>
      <c r="M37" s="283">
        <f t="shared" si="67"/>
        <v>0</v>
      </c>
      <c r="N37" s="283">
        <f t="shared" si="67"/>
        <v>0</v>
      </c>
      <c r="O37" s="284">
        <f>SUM(G37:N37)</f>
        <v>0</v>
      </c>
      <c r="P37" s="230"/>
      <c r="Q37" s="230"/>
      <c r="R37" s="268"/>
      <c r="S37" s="4"/>
      <c r="T37" s="303"/>
      <c r="U37" s="307"/>
      <c r="V37" s="307"/>
      <c r="W37" s="381"/>
      <c r="X37" s="385">
        <f>F36</f>
        <v>0</v>
      </c>
      <c r="Y37" s="640">
        <f t="shared" ref="Y37:AE37" si="68">IF($D$3="DFG",Y35*$AF36,Y35*$AF36)</f>
        <v>0</v>
      </c>
      <c r="Z37" s="640">
        <f t="shared" si="68"/>
        <v>0</v>
      </c>
      <c r="AA37" s="640">
        <f t="shared" si="68"/>
        <v>0</v>
      </c>
      <c r="AB37" s="640">
        <f t="shared" si="68"/>
        <v>0</v>
      </c>
      <c r="AC37" s="640">
        <f t="shared" si="68"/>
        <v>0</v>
      </c>
      <c r="AD37" s="640">
        <f t="shared" si="68"/>
        <v>0</v>
      </c>
      <c r="AE37" s="640">
        <f t="shared" si="68"/>
        <v>0</v>
      </c>
      <c r="AF37" s="386"/>
      <c r="AG37" s="386"/>
      <c r="AH37" s="387">
        <f>IF($D$3="DFG",AF35*AF36,IF(X37=1,AF35*AF36,AF35*AF36))</f>
        <v>0</v>
      </c>
      <c r="AI37" s="37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</row>
    <row r="38" spans="2:54" x14ac:dyDescent="0.35">
      <c r="B38" s="303"/>
      <c r="C38" s="307"/>
      <c r="D38" s="834" t="s">
        <v>281</v>
      </c>
      <c r="E38" s="835">
        <v>2</v>
      </c>
      <c r="F38" s="52"/>
      <c r="G38" s="843" t="s">
        <v>673</v>
      </c>
      <c r="H38" s="844">
        <v>0</v>
      </c>
      <c r="I38" s="324">
        <v>0</v>
      </c>
      <c r="J38" s="324">
        <v>0</v>
      </c>
      <c r="K38" s="324">
        <v>0</v>
      </c>
      <c r="L38" s="324">
        <v>0</v>
      </c>
      <c r="M38" s="324">
        <v>0</v>
      </c>
      <c r="N38" s="324">
        <v>0</v>
      </c>
      <c r="O38" s="239"/>
      <c r="P38" s="51"/>
      <c r="Q38" s="234">
        <f>SUM(G38:N38)</f>
        <v>0</v>
      </c>
      <c r="R38" s="240">
        <f>Q38*F40</f>
        <v>0</v>
      </c>
      <c r="S38" s="4"/>
      <c r="T38" s="303"/>
      <c r="U38" s="985" t="str">
        <f>CONCATENATE(D39," ",E39, " ",D38)</f>
        <v>Prof-Name:  W2</v>
      </c>
      <c r="V38" s="985"/>
      <c r="W38" s="986" t="s">
        <v>268</v>
      </c>
      <c r="X38" s="987"/>
      <c r="Y38" s="377">
        <f>IF($D$3="DFG",H38,IF($X40=1,H38,H38*ROUND($X40*$U$3/12,2)))</f>
        <v>0</v>
      </c>
      <c r="Z38" s="377">
        <f>IF($D$3="DFG",I38,IF($X40=1,I38,I38*ROUND($X40*$U$3/12,2)))</f>
        <v>0</v>
      </c>
      <c r="AA38" s="377">
        <f t="shared" ref="AA38" si="69">IF($D$3="DFG",J38,IF($X40=1,J38,J38*ROUND($X40*$U$3/12,2)))</f>
        <v>0</v>
      </c>
      <c r="AB38" s="377">
        <f t="shared" ref="AB38" si="70">IF($D$3="DFG",K38,IF($X40=1,K38,K38*ROUND($X40*$U$3/12,2)))</f>
        <v>0</v>
      </c>
      <c r="AC38" s="377">
        <f t="shared" ref="AC38" si="71">IF($D$3="DFG",L38,IF($X40=1,L38,L38*ROUND($X40*$U$3/12,2)))</f>
        <v>0</v>
      </c>
      <c r="AD38" s="377">
        <f t="shared" ref="AD38" si="72">IF($D$3="DFG",M38,IF($X40=1,M38,M38*ROUND($X40*$U$3/12,2)))</f>
        <v>0</v>
      </c>
      <c r="AE38" s="377">
        <f t="shared" ref="AE38" si="73">IF($D$3="DFG",N38,IF($X40=1,N38,N38*ROUND($X40*$U$3/12,2)))</f>
        <v>0</v>
      </c>
      <c r="AF38" s="377">
        <f>IF($D$3="DFG",Q38,IF(X40=1,Q38,Q38*ROUND(X40*$U$3/12,2)))</f>
        <v>0</v>
      </c>
      <c r="AG38" s="402" t="str">
        <f>IF($D$3="DFG","KM",IF(X40=1,"KM","h gesamt"))</f>
        <v>KM</v>
      </c>
      <c r="AH38" s="376"/>
      <c r="AI38" s="37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</row>
    <row r="39" spans="2:54" x14ac:dyDescent="0.35">
      <c r="B39" s="303"/>
      <c r="C39" s="307"/>
      <c r="D39" s="243" t="s">
        <v>671</v>
      </c>
      <c r="E39" s="833"/>
      <c r="F39" s="836"/>
      <c r="G39" s="822"/>
      <c r="H39" s="842">
        <f>IF($F40=0,0,IF($D$3="voraussichtliche Kosten", INDEX(Prof!$C$11:$J$73,$E41,G7-2021), INDEX(Prof!$C$11:$J$73,$E41,1)))+$E$40</f>
        <v>0</v>
      </c>
      <c r="I39" s="842">
        <f>IF($F40=0,0,IF($D$3="voraussichtliche Kosten", INDEX(Prof!$C$11:$J$73,$E41,I7-2021), INDEX(Prof!$C$11:$J$73,$E41,2)))+$E$40</f>
        <v>0</v>
      </c>
      <c r="J39" s="842">
        <f>IF($F40=0,0,IF($D$3="voraussichtliche Kosten", INDEX(Prof!$C$11:$J$73,$E41,J7-2021), INDEX(Prof!$C$11:$J$73,$E41,2)))+$E$40</f>
        <v>0</v>
      </c>
      <c r="K39" s="842">
        <f>IF($F40=0,0,IF($D$3="voraussichtliche Kosten", INDEX(Prof!$C$11:$J$73,$E41,K7-2021), INDEX(Prof!$C$11:$J$73,$E41,2)))+$E$40</f>
        <v>0</v>
      </c>
      <c r="L39" s="842">
        <f>IF($F40=0,0,IF($D$3="voraussichtliche Kosten", INDEX(Prof!$C$11:$J$73,$E41,L7-2021), INDEX(Prof!$C$11:$J$73,$E41,2)))+$E$40</f>
        <v>0</v>
      </c>
      <c r="M39" s="842">
        <f>IF($F40=0,0,IF($D$3="voraussichtliche Kosten", INDEX(Prof!$C$11:$J$73,$E41,M7-2021), INDEX(Prof!$C$11:$J$73,$E41,2)))+$E$40</f>
        <v>0</v>
      </c>
      <c r="N39" s="842">
        <f>IF($F40=0,0,IF($D$3="voraussichtliche Kosten", INDEX(Prof!$C$11:$J$73,$E41,N7-2021), INDEX(Prof!$C$11:$J$73,$E41,2)))+$E$40</f>
        <v>0</v>
      </c>
      <c r="O39" s="214"/>
      <c r="P39" s="264">
        <f>IF(SUM(G38:N38)=0,0,SUMPRODUCT(G38:N38,G39:N39)/SUM(G38:N38))</f>
        <v>0</v>
      </c>
      <c r="Q39" s="3"/>
      <c r="R39" s="241"/>
      <c r="S39" s="4"/>
      <c r="T39" s="303"/>
      <c r="U39" s="307"/>
      <c r="V39" s="405" t="s">
        <v>273</v>
      </c>
      <c r="W39" s="406">
        <f>MATCH($W38,'Infos FoFö'!$B$153:$B$169,0)</f>
        <v>14</v>
      </c>
      <c r="X39" s="381"/>
      <c r="Y39" s="381"/>
      <c r="Z39" s="381"/>
      <c r="AA39" s="381"/>
      <c r="AB39" s="381"/>
      <c r="AC39" s="381"/>
      <c r="AD39" s="381"/>
      <c r="AE39" s="381"/>
      <c r="AF39" s="382">
        <f>IF($D$3="DFG",IF(W39&lt;&gt;17,INDEX('Infos FoFö'!$B$153:$C$169,W39,2),G39),IF(X40=1,INDEX('Infos FoFö'!$B$153:$C$169,W39,2),INDEX('Infos FoFö'!$B$153:$D$169,W39,3)))</f>
        <v>5975</v>
      </c>
      <c r="AG39" s="403"/>
      <c r="AH39" s="400" t="str">
        <f>IF(AF38&lt;&gt;0,IF(NOT(ISERROR(SEARCH($D$3,W38,1))),"","Zuordnung prüfen"),"")</f>
        <v/>
      </c>
      <c r="AI39" s="37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</row>
    <row r="40" spans="2:54" x14ac:dyDescent="0.35">
      <c r="B40" s="303"/>
      <c r="C40" s="307"/>
      <c r="D40" s="831" t="s">
        <v>672</v>
      </c>
      <c r="E40" s="840">
        <v>0</v>
      </c>
      <c r="F40" s="321">
        <v>0</v>
      </c>
      <c r="G40" s="838"/>
      <c r="H40" s="216">
        <f t="shared" ref="H40" si="74">H39*$F40</f>
        <v>0</v>
      </c>
      <c r="I40" s="216">
        <f t="shared" ref="I40:N40" si="75">I39*$F40</f>
        <v>0</v>
      </c>
      <c r="J40" s="216">
        <f t="shared" si="75"/>
        <v>0</v>
      </c>
      <c r="K40" s="216">
        <f t="shared" si="75"/>
        <v>0</v>
      </c>
      <c r="L40" s="216">
        <f t="shared" si="75"/>
        <v>0</v>
      </c>
      <c r="M40" s="216">
        <f t="shared" si="75"/>
        <v>0</v>
      </c>
      <c r="N40" s="216">
        <f t="shared" si="75"/>
        <v>0</v>
      </c>
      <c r="O40" s="207"/>
      <c r="P40" s="4"/>
      <c r="Q40" s="3"/>
      <c r="R40" s="241"/>
      <c r="S40" s="4"/>
      <c r="T40" s="303"/>
      <c r="U40" s="307"/>
      <c r="V40" s="307"/>
      <c r="W40" s="381"/>
      <c r="X40" s="385">
        <f>F40</f>
        <v>0</v>
      </c>
      <c r="Y40" s="639">
        <f>Y38*$AF39</f>
        <v>0</v>
      </c>
      <c r="Z40" s="639">
        <f t="shared" ref="Z40:AE40" si="76">Z38*$AF39</f>
        <v>0</v>
      </c>
      <c r="AA40" s="639">
        <f t="shared" si="76"/>
        <v>0</v>
      </c>
      <c r="AB40" s="639">
        <f t="shared" si="76"/>
        <v>0</v>
      </c>
      <c r="AC40" s="639">
        <f t="shared" si="76"/>
        <v>0</v>
      </c>
      <c r="AD40" s="639">
        <f t="shared" si="76"/>
        <v>0</v>
      </c>
      <c r="AE40" s="639">
        <f t="shared" si="76"/>
        <v>0</v>
      </c>
      <c r="AF40" s="382">
        <f>IF($D$3="DFG",X40*AF39,IF(X40=1,X40*AF39,0))</f>
        <v>0</v>
      </c>
      <c r="AG40" s="403"/>
      <c r="AH40" s="378"/>
      <c r="AI40" s="37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</row>
    <row r="41" spans="2:54" ht="15" thickBot="1" x14ac:dyDescent="0.4">
      <c r="B41" s="303"/>
      <c r="C41" s="307"/>
      <c r="D41" s="832" t="s">
        <v>159</v>
      </c>
      <c r="E41" s="837">
        <f>IF(D38="W1",1,IF(D38="W2",2,IF(D38="W3",3,IF(E38=0,"Fehler",IF(D38="C1",3+E38,IF(D38="C2",18+E38,IF(D38="C3",33+E38,48+E38)))))))</f>
        <v>2</v>
      </c>
      <c r="F41" s="795" t="s">
        <v>670</v>
      </c>
      <c r="G41" s="839"/>
      <c r="H41" s="235">
        <f>H38*H40</f>
        <v>0</v>
      </c>
      <c r="I41" s="235">
        <f t="shared" ref="I41:N41" si="77">I38*I40</f>
        <v>0</v>
      </c>
      <c r="J41" s="235">
        <f t="shared" si="77"/>
        <v>0</v>
      </c>
      <c r="K41" s="235">
        <f t="shared" si="77"/>
        <v>0</v>
      </c>
      <c r="L41" s="235">
        <f t="shared" si="77"/>
        <v>0</v>
      </c>
      <c r="M41" s="235">
        <f t="shared" si="77"/>
        <v>0</v>
      </c>
      <c r="N41" s="235">
        <f t="shared" si="77"/>
        <v>0</v>
      </c>
      <c r="O41" s="236">
        <f>SUM(G41:N41)</f>
        <v>0</v>
      </c>
      <c r="P41" s="237"/>
      <c r="Q41" s="237"/>
      <c r="R41" s="238"/>
      <c r="S41" s="4"/>
      <c r="T41" s="303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404"/>
      <c r="AH41" s="387">
        <f>IF($D$3="DFG",AF38*AF40,IF(X40=1,AF38*AF40,AF38*AF39))</f>
        <v>0</v>
      </c>
      <c r="AI41" s="37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</row>
    <row r="42" spans="2:54" x14ac:dyDescent="0.35">
      <c r="B42" s="303"/>
      <c r="C42" s="305"/>
      <c r="D42" s="342" t="s">
        <v>221</v>
      </c>
      <c r="E42" s="51"/>
      <c r="F42" s="245" t="s">
        <v>222</v>
      </c>
      <c r="G42" s="983">
        <f>SUMIF($F$13:$F$42,"t",G$13:G$42)+SUMIF($F$13:$F$42,"t",H$13:H$42)</f>
        <v>0</v>
      </c>
      <c r="H42" s="984"/>
      <c r="I42" s="847">
        <f>SUMIF($F$13:$F$42,"t",I$13:I$42)</f>
        <v>0</v>
      </c>
      <c r="J42" s="847">
        <f t="shared" ref="J42:N42" si="78">SUMIF($F$13:$F$42,"t",J$13:J$42)</f>
        <v>0</v>
      </c>
      <c r="K42" s="816">
        <f t="shared" si="78"/>
        <v>0</v>
      </c>
      <c r="L42" s="847">
        <f t="shared" si="78"/>
        <v>0</v>
      </c>
      <c r="M42" s="847">
        <f t="shared" si="78"/>
        <v>0</v>
      </c>
      <c r="N42" s="847">
        <f t="shared" si="78"/>
        <v>0</v>
      </c>
      <c r="O42" s="848">
        <f>SUM(G42:N42)</f>
        <v>0</v>
      </c>
      <c r="P42" s="803"/>
      <c r="Q42" s="801"/>
      <c r="R42" s="341">
        <f>SUMIF(F12:F41,"t",R9:R38)</f>
        <v>0</v>
      </c>
      <c r="S42" s="4"/>
      <c r="T42" s="303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7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</row>
    <row r="43" spans="2:54" x14ac:dyDescent="0.35">
      <c r="B43" s="303"/>
      <c r="C43" s="307"/>
      <c r="D43" s="76"/>
      <c r="E43" s="4"/>
      <c r="F43" s="849" t="s">
        <v>16</v>
      </c>
      <c r="G43" s="979">
        <f>SUMIF($F$13:$F$42,"h",G$13:G$42)+SUMIF($F$13:$F$42,"h",H$13:H$42)</f>
        <v>0</v>
      </c>
      <c r="H43" s="980"/>
      <c r="I43" s="813">
        <f>SUMIF($F$13:$F$42,"h",I$13:I$42)</f>
        <v>0</v>
      </c>
      <c r="J43" s="813">
        <f t="shared" ref="J43:N43" si="79">SUMIF($F$13:$F$42,"h",J$13:J$42)</f>
        <v>0</v>
      </c>
      <c r="K43" s="815">
        <f t="shared" si="79"/>
        <v>0</v>
      </c>
      <c r="L43" s="817">
        <f t="shared" si="79"/>
        <v>0</v>
      </c>
      <c r="M43" s="813">
        <f t="shared" si="79"/>
        <v>0</v>
      </c>
      <c r="N43" s="813">
        <f t="shared" si="79"/>
        <v>0</v>
      </c>
      <c r="O43" s="821">
        <f t="shared" ref="O43:O44" si="80">SUM(G43:N43)</f>
        <v>0</v>
      </c>
      <c r="P43" s="802"/>
      <c r="Q43" s="800"/>
      <c r="R43" s="807">
        <f>SUMIF(F12:F41,"h",R9:R38)</f>
        <v>0</v>
      </c>
      <c r="S43" s="4"/>
      <c r="T43" s="303"/>
      <c r="U43" s="399"/>
      <c r="V43" s="399"/>
      <c r="W43" s="399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70"/>
      <c r="AJ43" s="330"/>
      <c r="AK43" s="330"/>
      <c r="AL43" s="401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</row>
    <row r="44" spans="2:54" ht="15" thickBot="1" x14ac:dyDescent="0.4">
      <c r="B44" s="303"/>
      <c r="C44" s="307"/>
      <c r="D44" s="79"/>
      <c r="E44" s="5"/>
      <c r="F44" s="850" t="s">
        <v>129</v>
      </c>
      <c r="G44" s="981">
        <f>SUMIF($F$13:$F$42,"p",G$13:G$42)+SUMIF($F$13:$F$42,"p",H$13:H$42)</f>
        <v>0</v>
      </c>
      <c r="H44" s="982"/>
      <c r="I44" s="811">
        <f>SUMIF($F$13:$F$42,"p",I$13:I$42)</f>
        <v>0</v>
      </c>
      <c r="J44" s="814">
        <f t="shared" ref="J44:N44" si="81">SUMIF($F$13:$F$42,"p",J$13:J$42)</f>
        <v>0</v>
      </c>
      <c r="K44" s="814">
        <f t="shared" si="81"/>
        <v>0</v>
      </c>
      <c r="L44" s="814">
        <f t="shared" si="81"/>
        <v>0</v>
      </c>
      <c r="M44" s="814">
        <f t="shared" si="81"/>
        <v>0</v>
      </c>
      <c r="N44" s="818">
        <f t="shared" si="81"/>
        <v>0</v>
      </c>
      <c r="O44" s="819">
        <f t="shared" si="80"/>
        <v>0</v>
      </c>
      <c r="P44" s="237"/>
      <c r="Q44" s="237"/>
      <c r="R44" s="808">
        <f>SUMIF(F12:F41,"p",R9:R38)</f>
        <v>0</v>
      </c>
      <c r="S44" s="4"/>
      <c r="T44" s="303"/>
      <c r="U44" s="399"/>
      <c r="V44" s="399"/>
      <c r="W44" s="399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70"/>
      <c r="AJ44" s="330"/>
      <c r="AK44" s="330"/>
      <c r="AL44" s="401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</row>
    <row r="45" spans="2:54" ht="6.65" customHeight="1" thickBot="1" x14ac:dyDescent="0.4">
      <c r="B45" s="303"/>
      <c r="C45" s="307"/>
      <c r="D45" s="4"/>
      <c r="E45" s="4"/>
      <c r="F45" s="282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275"/>
      <c r="R45" s="275"/>
      <c r="S45" s="4"/>
      <c r="T45" s="308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71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</row>
    <row r="46" spans="2:54" ht="8.5" customHeight="1" thickTop="1" x14ac:dyDescent="0.35">
      <c r="B46" s="301"/>
      <c r="C46" s="302"/>
      <c r="D46" s="211"/>
      <c r="E46" s="211"/>
      <c r="F46" s="278"/>
      <c r="G46" s="339"/>
      <c r="H46" s="340"/>
      <c r="I46" s="340"/>
      <c r="J46" s="339"/>
      <c r="K46" s="340"/>
      <c r="L46" s="340"/>
      <c r="M46" s="339"/>
      <c r="N46" s="340"/>
      <c r="O46" s="340"/>
      <c r="P46" s="339"/>
      <c r="Q46" s="277"/>
      <c r="R46" s="277"/>
      <c r="S46" s="210"/>
      <c r="T46" s="301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69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</row>
    <row r="47" spans="2:54" x14ac:dyDescent="0.35">
      <c r="B47" s="303"/>
      <c r="C47" s="306" t="s">
        <v>206</v>
      </c>
      <c r="D47" s="4"/>
      <c r="E47" s="4"/>
      <c r="F47" s="225"/>
      <c r="G47" s="959">
        <f>SUM(G42:H43)</f>
        <v>0</v>
      </c>
      <c r="H47" s="960"/>
      <c r="I47" s="280">
        <f t="shared" ref="I47:O47" si="82">SUM(I42:I43)</f>
        <v>0</v>
      </c>
      <c r="J47" s="280">
        <f t="shared" si="82"/>
        <v>0</v>
      </c>
      <c r="K47" s="280">
        <f t="shared" si="82"/>
        <v>0</v>
      </c>
      <c r="L47" s="280">
        <f t="shared" si="82"/>
        <v>0</v>
      </c>
      <c r="M47" s="280">
        <f t="shared" si="82"/>
        <v>0</v>
      </c>
      <c r="N47" s="280">
        <f t="shared" si="82"/>
        <v>0</v>
      </c>
      <c r="O47" s="279">
        <f t="shared" si="82"/>
        <v>0</v>
      </c>
      <c r="P47" s="230"/>
      <c r="Q47" s="230"/>
      <c r="R47" s="281">
        <f>SUM(R42:R44)</f>
        <v>0</v>
      </c>
      <c r="S47" s="206"/>
      <c r="T47" s="303"/>
      <c r="U47" s="306" t="s">
        <v>206</v>
      </c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65">
        <f>SUM(AH13:AH37)</f>
        <v>0</v>
      </c>
      <c r="AI47" s="370"/>
      <c r="AJ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</row>
    <row r="48" spans="2:54" ht="7.15" customHeight="1" thickBot="1" x14ac:dyDescent="0.4">
      <c r="B48" s="303"/>
      <c r="C48" s="306"/>
      <c r="D48" s="4"/>
      <c r="E48" s="4"/>
      <c r="F48" s="225"/>
      <c r="G48" s="361"/>
      <c r="H48" s="361"/>
      <c r="I48" s="350"/>
      <c r="J48" s="350"/>
      <c r="K48" s="350"/>
      <c r="L48" s="350"/>
      <c r="M48" s="350"/>
      <c r="N48" s="350"/>
      <c r="O48" s="230"/>
      <c r="P48" s="230"/>
      <c r="Q48" s="230"/>
      <c r="R48" s="362"/>
      <c r="S48" s="206"/>
      <c r="T48" s="303"/>
      <c r="U48" s="306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88"/>
      <c r="AI48" s="37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</row>
    <row r="49" spans="2:54" ht="19" thickBot="1" x14ac:dyDescent="0.5">
      <c r="B49" s="303"/>
      <c r="C49" s="30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206"/>
      <c r="T49" s="303"/>
      <c r="U49" s="1008" t="s">
        <v>618</v>
      </c>
      <c r="V49" s="1008"/>
      <c r="W49" s="1008"/>
      <c r="X49" s="1008"/>
      <c r="Y49" s="618"/>
      <c r="Z49" s="618"/>
      <c r="AA49" s="618"/>
      <c r="AB49" s="642" t="str">
        <f>IF(ISNUMBER(AC49),"gerundet","")</f>
        <v/>
      </c>
      <c r="AC49" s="1003" t="str">
        <f>IF(O47&gt;AH47,ROUNDUP(O47-AH47,-2),"Beantragte Summe ausreichend")</f>
        <v>Beantragte Summe ausreichend</v>
      </c>
      <c r="AD49" s="1004"/>
      <c r="AE49" s="1005"/>
      <c r="AF49" s="307"/>
      <c r="AG49" s="307"/>
      <c r="AH49" s="641">
        <f>O47-AH47</f>
        <v>0</v>
      </c>
      <c r="AI49" s="389"/>
      <c r="AJ49" s="330"/>
      <c r="AK49" s="330"/>
      <c r="AL49" s="331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</row>
    <row r="50" spans="2:54" ht="7.9" customHeight="1" x14ac:dyDescent="0.45">
      <c r="B50" s="303"/>
      <c r="C50" s="30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206"/>
      <c r="T50" s="303"/>
      <c r="U50" s="390"/>
      <c r="V50" s="390"/>
      <c r="W50" s="390"/>
      <c r="X50" s="390"/>
      <c r="Y50" s="618"/>
      <c r="Z50" s="618"/>
      <c r="AA50" s="618"/>
      <c r="AB50" s="618"/>
      <c r="AC50" s="618"/>
      <c r="AD50" s="618"/>
      <c r="AE50" s="618"/>
      <c r="AF50" s="391"/>
      <c r="AG50" s="386"/>
      <c r="AH50" s="386"/>
      <c r="AI50" s="392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</row>
    <row r="51" spans="2:54" x14ac:dyDescent="0.35">
      <c r="B51" s="303"/>
      <c r="C51" s="310" t="s">
        <v>196</v>
      </c>
      <c r="D51" s="4"/>
      <c r="E51" s="4"/>
      <c r="F51" s="4"/>
      <c r="G51" s="976">
        <v>0</v>
      </c>
      <c r="H51" s="976"/>
      <c r="I51" s="326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221">
        <f>SUM(G51:N51)</f>
        <v>0</v>
      </c>
      <c r="Q51" s="230"/>
      <c r="R51" s="230"/>
      <c r="S51" s="206"/>
      <c r="T51" s="303"/>
      <c r="U51" s="307" t="s">
        <v>196</v>
      </c>
      <c r="V51" s="307"/>
      <c r="W51" s="630" t="str">
        <f>IF(X55='Infos FoFö'!C179,"Achtung:  Reisekosten über Pauschale","")</f>
        <v/>
      </c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93">
        <f>IF(X56='Infos FoFö'!C180,0,SUM(G51:N51))</f>
        <v>0</v>
      </c>
      <c r="AI51" s="370"/>
      <c r="AJ51" s="330"/>
      <c r="AK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</row>
    <row r="52" spans="2:54" x14ac:dyDescent="0.35">
      <c r="B52" s="303"/>
      <c r="C52" s="310" t="s">
        <v>195</v>
      </c>
      <c r="D52" s="4"/>
      <c r="E52" s="4"/>
      <c r="F52" s="4"/>
      <c r="G52" s="976">
        <v>0</v>
      </c>
      <c r="H52" s="976"/>
      <c r="I52" s="326">
        <v>0</v>
      </c>
      <c r="J52" s="326">
        <v>0</v>
      </c>
      <c r="K52" s="326">
        <v>0</v>
      </c>
      <c r="L52" s="326">
        <v>35000</v>
      </c>
      <c r="M52" s="326">
        <v>0</v>
      </c>
      <c r="N52" s="326">
        <v>0</v>
      </c>
      <c r="O52" s="221">
        <f>SUM(G52:N52)</f>
        <v>35000</v>
      </c>
      <c r="Q52" s="230"/>
      <c r="R52" s="230"/>
      <c r="S52" s="206"/>
      <c r="T52" s="303"/>
      <c r="U52" s="307" t="s">
        <v>195</v>
      </c>
      <c r="V52" s="307"/>
      <c r="W52" s="630" t="str">
        <f>IF(X56='Infos FoFö'!C180,"Achtung: Sach-/Reisekosten &amp; Unteraufträge über Pauschale; direkte Sachkosten aber trotzdem links grob abschätzen","")</f>
        <v/>
      </c>
      <c r="X52" s="307"/>
      <c r="Y52" s="307"/>
      <c r="Z52" s="307"/>
      <c r="AE52" s="307"/>
      <c r="AF52" s="307"/>
      <c r="AG52" s="307"/>
      <c r="AH52" s="393">
        <f>IF(X56='Infos FoFö'!C180,0,SUM(G52:N52))</f>
        <v>35000</v>
      </c>
      <c r="AI52" s="370"/>
      <c r="AJ52" s="330"/>
      <c r="AK52" s="330"/>
      <c r="AM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</row>
    <row r="53" spans="2:54" x14ac:dyDescent="0.35">
      <c r="B53" s="303"/>
      <c r="C53" s="310" t="s">
        <v>276</v>
      </c>
      <c r="D53" s="4"/>
      <c r="E53" s="4"/>
      <c r="F53" s="4"/>
      <c r="G53" s="976">
        <v>0</v>
      </c>
      <c r="H53" s="976"/>
      <c r="I53" s="326">
        <v>0</v>
      </c>
      <c r="J53" s="326">
        <v>0</v>
      </c>
      <c r="K53" s="326">
        <v>0</v>
      </c>
      <c r="L53" s="326">
        <v>0</v>
      </c>
      <c r="M53" s="326">
        <v>0</v>
      </c>
      <c r="N53" s="326">
        <v>0</v>
      </c>
      <c r="O53" s="221">
        <f>SUM(G53:N53)</f>
        <v>0</v>
      </c>
      <c r="Q53" s="230"/>
      <c r="R53" s="230"/>
      <c r="S53" s="206"/>
      <c r="T53" s="303"/>
      <c r="U53" s="307" t="s">
        <v>276</v>
      </c>
      <c r="V53" s="307"/>
      <c r="W53" s="630" t="str">
        <f>IF(X57='Infos FoFö'!C181,"Achtung: Unteraufträge über Pauschale","")</f>
        <v/>
      </c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93">
        <f>IF(X56='Infos FoFö'!C181,0,SUM(G53:N53))</f>
        <v>0</v>
      </c>
      <c r="AI53" s="370"/>
      <c r="AJ53" s="330"/>
      <c r="AK53" s="330"/>
      <c r="AM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</row>
    <row r="54" spans="2:54" ht="6.65" customHeight="1" x14ac:dyDescent="0.35">
      <c r="B54" s="303"/>
      <c r="C54" s="41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Q54" s="3"/>
      <c r="R54" s="3"/>
      <c r="S54" s="206"/>
      <c r="T54" s="303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7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</row>
    <row r="55" spans="2:54" x14ac:dyDescent="0.35">
      <c r="B55" s="303"/>
      <c r="C55" s="310"/>
      <c r="D55" s="4"/>
      <c r="E55" s="4"/>
      <c r="F55" s="4"/>
      <c r="Q55" s="231"/>
      <c r="R55" s="231"/>
      <c r="S55" s="206"/>
      <c r="T55" s="303"/>
      <c r="U55" s="306" t="s">
        <v>194</v>
      </c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94">
        <f>SUM(AH47:AH54)</f>
        <v>35000</v>
      </c>
      <c r="AI55" s="370"/>
      <c r="AJ55" s="330"/>
      <c r="AK55" s="330"/>
      <c r="AL55" s="330"/>
      <c r="AM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</row>
    <row r="56" spans="2:54" x14ac:dyDescent="0.35">
      <c r="B56" s="303"/>
      <c r="C56" s="306"/>
      <c r="D56" s="354"/>
      <c r="E56" s="356"/>
      <c r="F56" s="356"/>
      <c r="G56" s="4"/>
      <c r="Q56" s="208"/>
      <c r="R56" s="208"/>
      <c r="S56" s="206"/>
      <c r="T56" s="303"/>
      <c r="U56" s="306" t="s">
        <v>193</v>
      </c>
      <c r="V56" s="632" t="s">
        <v>611</v>
      </c>
      <c r="W56" s="633" t="str">
        <f>IF(D3="Interreg",IF(V56='Infos FoFö'!B181,'Infos FoFö'!C181,IF(V56='Infos FoFö'!B182,'Infos FoFö'!C182,IF(V56='Infos FoFö'!B183,'Infos FoFö'!C183,IF(V56='Infos FoFö'!B184,'Infos FoFö'!C184,IF(V56='Infos FoFö'!B180,'Infos FoFö'!C180,IF(V56='Infos FoFö'!B185,'Infos FoFö'!C185,"wählen")))))),"-""")</f>
        <v>-"</v>
      </c>
      <c r="X56" s="634">
        <f>IF(D3="DFG",0.22,IF(D3="EFRE",0.15,W56))</f>
        <v>0.22</v>
      </c>
      <c r="Y56" s="628" t="str">
        <f>IF(E3="DFG","auf Gesamtsumme","auf Personalkosten")</f>
        <v>auf Personalkosten</v>
      </c>
      <c r="Z56" s="307"/>
      <c r="AA56" s="307"/>
      <c r="AB56" s="307"/>
      <c r="AC56" s="307"/>
      <c r="AD56" s="307"/>
      <c r="AE56" s="307"/>
      <c r="AG56" s="307"/>
      <c r="AH56" s="395">
        <f>IF(Y56="auf Gesamtsumme",X56*AH55,X56*AH47)</f>
        <v>0</v>
      </c>
      <c r="AI56" s="370"/>
      <c r="AJ56" s="330"/>
      <c r="AK56" s="330"/>
      <c r="AL56" s="330"/>
      <c r="AM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</row>
    <row r="57" spans="2:54" x14ac:dyDescent="0.35">
      <c r="B57" s="303"/>
      <c r="C57" s="306"/>
      <c r="D57" s="4"/>
      <c r="E57" s="4"/>
      <c r="F57" s="4"/>
      <c r="Q57" s="230"/>
      <c r="R57" s="230"/>
      <c r="S57" s="206"/>
      <c r="T57" s="303"/>
      <c r="U57" s="306" t="s">
        <v>192</v>
      </c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93">
        <f>AH56+AH55</f>
        <v>35000</v>
      </c>
      <c r="AI57" s="37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</row>
    <row r="58" spans="2:54" ht="15" thickBot="1" x14ac:dyDescent="0.4">
      <c r="B58" s="308"/>
      <c r="C58" s="309"/>
      <c r="D58" s="205"/>
      <c r="E58" s="205"/>
      <c r="F58" s="35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76"/>
      <c r="R58" s="276"/>
      <c r="S58" s="204"/>
      <c r="T58" s="308"/>
      <c r="U58" s="312" t="s">
        <v>230</v>
      </c>
      <c r="V58" s="312"/>
      <c r="W58" s="312"/>
      <c r="X58" s="327">
        <v>500000</v>
      </c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71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</row>
    <row r="59" spans="2:54" ht="6.65" customHeight="1" thickTop="1" x14ac:dyDescent="0.35">
      <c r="B59" s="301"/>
      <c r="C59" s="302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32"/>
      <c r="R59" s="232"/>
      <c r="S59" s="330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66"/>
      <c r="AI59" s="369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</row>
    <row r="60" spans="2:54" ht="15" customHeight="1" x14ac:dyDescent="0.35">
      <c r="B60" s="303"/>
      <c r="C60" s="310" t="s">
        <v>184</v>
      </c>
      <c r="D60" s="1" t="s">
        <v>191</v>
      </c>
      <c r="E60" s="1"/>
      <c r="F60" s="329">
        <v>0</v>
      </c>
      <c r="G60" s="4" t="s">
        <v>186</v>
      </c>
      <c r="H60" s="4"/>
      <c r="I60" s="4" t="s">
        <v>185</v>
      </c>
      <c r="J60" s="4"/>
      <c r="K60" s="4"/>
      <c r="L60" s="631" t="str">
        <f>IF(D3="DFG","",IF(F60=0,"Prozentsatz Eigenanteil prüfen",""))</f>
        <v/>
      </c>
      <c r="M60" s="4"/>
      <c r="N60" s="4"/>
      <c r="O60" s="217">
        <f>F60*AH57</f>
        <v>0</v>
      </c>
      <c r="P60" s="230"/>
      <c r="Q60" s="208"/>
      <c r="R60" s="208"/>
      <c r="S60" s="330"/>
      <c r="T60" s="305"/>
      <c r="U60" s="310" t="s">
        <v>615</v>
      </c>
      <c r="V60" s="305"/>
      <c r="W60" s="993" t="s">
        <v>618</v>
      </c>
      <c r="X60" s="993"/>
      <c r="Z60" s="264" t="str">
        <f>IF(D3="EFRE",IF(AH49&gt;0,ROUND(AH49,2),0),"")</f>
        <v/>
      </c>
      <c r="AA60" s="992" t="s">
        <v>621</v>
      </c>
      <c r="AB60" s="992"/>
      <c r="AC60" s="264" t="str">
        <f>IF(D3="EFRE",IF(AH49&lt;0,-ROUND(AH49,2),0),"")</f>
        <v/>
      </c>
      <c r="AI60" s="37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</row>
    <row r="61" spans="2:54" x14ac:dyDescent="0.35">
      <c r="B61" s="303"/>
      <c r="C61" s="310"/>
      <c r="D61" s="1"/>
      <c r="E61" s="1"/>
      <c r="F61" s="228">
        <f>F60</f>
        <v>0</v>
      </c>
      <c r="G61" s="4" t="s">
        <v>190</v>
      </c>
      <c r="H61" s="4"/>
      <c r="I61" s="4" t="s">
        <v>189</v>
      </c>
      <c r="J61" s="4"/>
      <c r="K61" s="4"/>
      <c r="L61" s="4"/>
      <c r="M61" s="4"/>
      <c r="N61" s="4"/>
      <c r="O61" s="217">
        <f>F61*AH55</f>
        <v>0</v>
      </c>
      <c r="P61" s="230"/>
      <c r="Q61" s="208"/>
      <c r="R61" s="208"/>
      <c r="S61" s="330"/>
      <c r="T61" s="305"/>
      <c r="U61" s="305"/>
      <c r="V61" s="305"/>
      <c r="W61" s="992" t="s">
        <v>619</v>
      </c>
      <c r="X61" s="992"/>
      <c r="Z61" s="221" t="str">
        <f>IF(D3="EFRE",O61,"")</f>
        <v/>
      </c>
      <c r="AI61" s="37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</row>
    <row r="62" spans="2:54" x14ac:dyDescent="0.35">
      <c r="B62" s="303"/>
      <c r="C62" s="307"/>
      <c r="F62" s="228">
        <f>F60</f>
        <v>0</v>
      </c>
      <c r="G62" s="4" t="s">
        <v>188</v>
      </c>
      <c r="H62" s="4"/>
      <c r="I62" s="4" t="s">
        <v>187</v>
      </c>
      <c r="J62" s="4"/>
      <c r="K62" s="4"/>
      <c r="L62" s="4"/>
      <c r="M62" s="4"/>
      <c r="N62" s="4"/>
      <c r="O62" s="217">
        <f>F62*AH56</f>
        <v>0</v>
      </c>
      <c r="P62" s="230"/>
      <c r="Q62" s="208"/>
      <c r="R62" s="208"/>
      <c r="S62" s="330"/>
      <c r="T62" s="305"/>
      <c r="U62" s="305"/>
      <c r="V62" s="305"/>
      <c r="W62" t="s">
        <v>620</v>
      </c>
      <c r="AC62" s="221" t="str">
        <f>IF(D3="EFRE",O65,"")</f>
        <v/>
      </c>
      <c r="AI62" s="37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0"/>
      <c r="AZ62" s="330"/>
      <c r="BA62" s="330"/>
      <c r="BB62" s="330"/>
    </row>
    <row r="63" spans="2:54" x14ac:dyDescent="0.35">
      <c r="B63" s="303"/>
      <c r="C63" s="307"/>
      <c r="F63" s="209"/>
      <c r="G63" s="4"/>
      <c r="H63" s="4"/>
      <c r="I63" s="4"/>
      <c r="J63" s="4"/>
      <c r="K63" s="4"/>
      <c r="L63" s="4"/>
      <c r="M63" s="4"/>
      <c r="N63" s="4"/>
      <c r="O63" s="208"/>
      <c r="P63" s="208"/>
      <c r="Q63" s="208"/>
      <c r="R63" s="208"/>
      <c r="S63" s="330"/>
      <c r="T63" s="305"/>
      <c r="U63" s="305"/>
      <c r="V63" s="305"/>
      <c r="W63" s="1" t="s">
        <v>192</v>
      </c>
      <c r="Z63" s="217" t="str">
        <f>IF(D3="EFRE",SUM(Z60:Z62),"")</f>
        <v/>
      </c>
      <c r="AC63" s="217" t="str">
        <f>IF(D3="EFRE",SUM(AC60:AC62),"")</f>
        <v/>
      </c>
      <c r="AE63" s="221" t="str">
        <f>IF(D3="EFRE",Z63-AC63,"")</f>
        <v/>
      </c>
      <c r="AF63" s="643" t="str">
        <f>IF(D3="EFRE",IF(AE63&lt;=0,"Überschuss vorhanden","Eigenanteil fällt an"),"")</f>
        <v/>
      </c>
      <c r="AI63" s="37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</row>
    <row r="64" spans="2:54" x14ac:dyDescent="0.35">
      <c r="B64" s="303"/>
      <c r="C64" s="306" t="s">
        <v>182</v>
      </c>
      <c r="D64" s="4"/>
      <c r="E64" s="4"/>
      <c r="F64" s="360">
        <f>1-F60</f>
        <v>1</v>
      </c>
      <c r="G64" s="4"/>
      <c r="H64" s="4"/>
      <c r="I64" s="4"/>
      <c r="J64" s="4"/>
      <c r="K64" s="4"/>
      <c r="L64" s="4"/>
      <c r="M64" s="4"/>
      <c r="N64" s="4"/>
      <c r="O64" s="221">
        <f>IF(D3="Interreg",IF(V56='Infos FoFö'!B180,AF68,F64*AH56),F64*AH56)</f>
        <v>0</v>
      </c>
      <c r="P64" s="208"/>
      <c r="Q64" s="208"/>
      <c r="R64" s="208"/>
      <c r="S64" s="330"/>
      <c r="T64" s="305"/>
      <c r="U64" s="305"/>
      <c r="V64" s="305"/>
      <c r="W64" s="1006" t="str">
        <f>IF(D3="EFRE",IF(AE63&lt;=0,"OK, Projekt-Eigenteile gedeckt, Budgetstelle zur Vorfinanzierung angeben ODER Ressort II finanziert vor und Projektleitung verzichtet entsprechend auf ihren 70-%-Anteil der Pauschale.","Budgetstelle erforderlich."),"")</f>
        <v/>
      </c>
      <c r="X64" s="1006"/>
      <c r="Y64" s="1006"/>
      <c r="Z64" s="1007"/>
      <c r="AA64" s="1006"/>
      <c r="AB64" s="1006"/>
      <c r="AC64" s="1007"/>
      <c r="AD64" s="1006"/>
      <c r="AE64" s="1006"/>
      <c r="AF64" s="1006"/>
      <c r="AG64" s="1006"/>
      <c r="AH64" s="1006"/>
      <c r="AI64" s="37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</row>
    <row r="65" spans="1:54" x14ac:dyDescent="0.35">
      <c r="B65" s="303"/>
      <c r="C65" s="307" t="s">
        <v>181</v>
      </c>
      <c r="D65" s="4"/>
      <c r="E65" s="4"/>
      <c r="F65" s="4"/>
      <c r="G65" s="254">
        <f>'Infos FoFö'!C148</f>
        <v>0.7</v>
      </c>
      <c r="H65" s="4" t="s">
        <v>180</v>
      </c>
      <c r="I65" s="4"/>
      <c r="J65" s="4"/>
      <c r="K65" s="4"/>
      <c r="L65" s="4"/>
      <c r="M65" s="4"/>
      <c r="N65" s="4"/>
      <c r="O65" s="221">
        <f>O64*G65</f>
        <v>0</v>
      </c>
      <c r="P65" s="208"/>
      <c r="Q65" s="208"/>
      <c r="R65" s="208"/>
      <c r="S65" s="330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88"/>
      <c r="AI65" s="37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</row>
    <row r="66" spans="1:54" x14ac:dyDescent="0.35">
      <c r="B66" s="303"/>
      <c r="C66" s="307"/>
      <c r="D66" s="4"/>
      <c r="E66" s="4"/>
      <c r="F66" s="4"/>
      <c r="G66" s="226">
        <f>1-G65</f>
        <v>0.30000000000000004</v>
      </c>
      <c r="H66" s="4" t="s">
        <v>179</v>
      </c>
      <c r="I66" s="4"/>
      <c r="J66" s="4"/>
      <c r="K66" s="4"/>
      <c r="L66" s="4"/>
      <c r="M66" s="4"/>
      <c r="N66" s="4"/>
      <c r="O66" s="221">
        <f>O64*G66</f>
        <v>0</v>
      </c>
      <c r="P66" s="208"/>
      <c r="Q66" s="208"/>
      <c r="R66" s="208"/>
      <c r="S66" s="330"/>
      <c r="T66" s="305"/>
      <c r="U66" s="310" t="s">
        <v>616</v>
      </c>
      <c r="V66" s="305"/>
      <c r="Y66" s="1" t="s">
        <v>625</v>
      </c>
      <c r="AB66" s="1" t="s">
        <v>626</v>
      </c>
      <c r="AD66" s="331" t="s">
        <v>627</v>
      </c>
      <c r="AF66" s="307" t="s">
        <v>623</v>
      </c>
      <c r="AH66" s="307" t="s">
        <v>215</v>
      </c>
      <c r="AI66" s="37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</row>
    <row r="67" spans="1:54" x14ac:dyDescent="0.35">
      <c r="B67" s="303"/>
      <c r="C67" s="307"/>
      <c r="D67" s="4"/>
      <c r="E67" s="4"/>
      <c r="F67" s="3"/>
      <c r="G67" s="650"/>
      <c r="H67" s="3"/>
      <c r="I67" s="3"/>
      <c r="J67" s="3"/>
      <c r="K67" s="3"/>
      <c r="L67" s="3"/>
      <c r="M67" s="3"/>
      <c r="N67" s="3"/>
      <c r="O67" s="208"/>
      <c r="P67" s="208"/>
      <c r="Q67" s="208"/>
      <c r="R67" s="208"/>
      <c r="S67" s="330"/>
      <c r="T67" s="305"/>
      <c r="U67" s="310"/>
      <c r="V67" s="305"/>
      <c r="W67" s="993" t="s">
        <v>618</v>
      </c>
      <c r="X67" s="993"/>
      <c r="Y67" s="644" t="str">
        <f>IF(D3="Interreg",IF(AH49&gt;0,ROUND(AH49,2),0),"")</f>
        <v/>
      </c>
      <c r="Z67" s="645" t="s">
        <v>621</v>
      </c>
      <c r="AA67" s="645"/>
      <c r="AB67" s="264" t="str">
        <f>IF(D3="Interreg",IF(AH49&lt;0,-ROUND(AH49,2),0),"")</f>
        <v/>
      </c>
      <c r="AF67" s="651">
        <v>0.16800000000000001</v>
      </c>
      <c r="AH67" s="649" t="str">
        <f>IF(D3="Interreg",IF(V56='Infos FoFö'!B180,X56-AF67,""),"")</f>
        <v/>
      </c>
      <c r="AI67" s="37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</row>
    <row r="68" spans="1:54" x14ac:dyDescent="0.35">
      <c r="B68" s="303"/>
      <c r="C68" s="30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  <c r="Q68" s="3"/>
      <c r="R68" s="3"/>
      <c r="S68" s="330"/>
      <c r="T68" s="305"/>
      <c r="V68" s="305"/>
      <c r="W68" s="992" t="s">
        <v>619</v>
      </c>
      <c r="X68" s="992"/>
      <c r="Y68" s="221" t="str">
        <f>IF(D3="Interreg",O61,"")</f>
        <v/>
      </c>
      <c r="AF68" s="646" t="str">
        <f>IF(D3="Interreg",IF(V56='Infos FoFö'!B180,AF67*AH47,""),"")</f>
        <v/>
      </c>
      <c r="AH68" s="646" t="str">
        <f>IF(D3="Interreg",IF(V56='Infos FoFö'!B180,AH67*AH47,""),"")</f>
        <v/>
      </c>
      <c r="AI68" s="37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</row>
    <row r="69" spans="1:54" x14ac:dyDescent="0.35">
      <c r="B69" s="303"/>
      <c r="C69" s="306" t="s">
        <v>227</v>
      </c>
      <c r="D69" s="1"/>
      <c r="E69" s="1"/>
      <c r="F69" s="956"/>
      <c r="G69" s="957"/>
      <c r="H69" s="957"/>
      <c r="I69" s="957"/>
      <c r="J69" s="957"/>
      <c r="K69" s="957"/>
      <c r="L69" s="957"/>
      <c r="M69" s="957"/>
      <c r="N69" s="957"/>
      <c r="O69" s="958"/>
      <c r="P69" s="448"/>
      <c r="Q69" s="3"/>
      <c r="R69" s="3"/>
      <c r="S69" s="330"/>
      <c r="T69" s="305"/>
      <c r="U69" s="305"/>
      <c r="V69" s="305"/>
      <c r="Z69" t="s">
        <v>620</v>
      </c>
      <c r="AB69" s="221" t="str">
        <f>IF(D3="Interreg",O65,"")</f>
        <v/>
      </c>
      <c r="AG69" s="648" t="s">
        <v>628</v>
      </c>
      <c r="AH69" s="646" t="str">
        <f>IF(D3="Interreg",IF(V56='Infos FoFö'!B180,SUM(O51:O53)-AH68,""),"")</f>
        <v/>
      </c>
      <c r="AI69" s="37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330"/>
    </row>
    <row r="70" spans="1:54" x14ac:dyDescent="0.35">
      <c r="B70" s="303"/>
      <c r="C70" s="306" t="s">
        <v>226</v>
      </c>
      <c r="D70" s="1"/>
      <c r="E70" s="1"/>
      <c r="F70" s="615"/>
      <c r="G70" s="616"/>
      <c r="H70" s="616"/>
      <c r="I70" s="616"/>
      <c r="J70" s="616"/>
      <c r="K70" s="616"/>
      <c r="L70" s="616"/>
      <c r="M70" s="616"/>
      <c r="N70" s="616"/>
      <c r="O70" s="617"/>
      <c r="P70" s="448"/>
      <c r="Q70" s="3"/>
      <c r="R70" s="3"/>
      <c r="S70" s="330"/>
      <c r="T70" s="305"/>
      <c r="U70" s="305"/>
      <c r="V70" s="305"/>
      <c r="W70" t="s">
        <v>624</v>
      </c>
      <c r="Y70" s="264" t="str">
        <f>IF(D3="Interreg",IF(V56='Infos FoFö'!B180,IF(AH69&lt;=0,-AH69,0),""),"")</f>
        <v/>
      </c>
      <c r="AB70" s="264" t="str">
        <f>IF(D3="Interreg",IF(V56='Infos FoFö'!B180,IF(AH69&gt;0,AH69,0),""),"")</f>
        <v/>
      </c>
      <c r="AH70" s="647" t="str">
        <f>IF(D3="Interreg",IF(V56='Infos FoFö'!B180,IF(AH69&lt;=0,"OK, direkte Sachkosten etc. sind gedeckt","Eigenanteil fällt auch hier an"),""),"")</f>
        <v/>
      </c>
      <c r="AI70" s="37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</row>
    <row r="71" spans="1:54" x14ac:dyDescent="0.35">
      <c r="B71" s="303"/>
      <c r="C71" s="306" t="s">
        <v>228</v>
      </c>
      <c r="D71" s="1"/>
      <c r="E71" s="1"/>
      <c r="F71" s="615"/>
      <c r="G71" s="616"/>
      <c r="H71" s="616"/>
      <c r="I71" s="616"/>
      <c r="J71" s="616"/>
      <c r="K71" s="616"/>
      <c r="L71" s="616"/>
      <c r="M71" s="616"/>
      <c r="N71" s="616"/>
      <c r="O71" s="617"/>
      <c r="P71" s="448"/>
      <c r="Q71" s="3"/>
      <c r="R71" s="3"/>
      <c r="S71" s="330"/>
      <c r="T71" s="305"/>
      <c r="U71" s="305"/>
      <c r="V71" s="305"/>
      <c r="W71" s="1" t="s">
        <v>192</v>
      </c>
      <c r="Y71" s="217" t="str">
        <f>IF(D3="Interreg",SUM(Y67:Y70),"")</f>
        <v/>
      </c>
      <c r="AB71" s="217" t="str">
        <f>IF(D3="Interreg",SUM(AB67:AB70),"")</f>
        <v/>
      </c>
      <c r="AD71" s="217" t="str">
        <f>IF(D3="Interreg",Y71-AB71,"")</f>
        <v/>
      </c>
      <c r="AI71" s="37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</row>
    <row r="72" spans="1:54" x14ac:dyDescent="0.35">
      <c r="B72" s="303"/>
      <c r="C72" s="306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48"/>
      <c r="Q72" s="3"/>
      <c r="R72" s="3"/>
      <c r="S72" s="330"/>
      <c r="T72" s="305"/>
      <c r="U72" s="305"/>
      <c r="V72" s="305"/>
      <c r="W72" s="1006" t="str">
        <f>IF(D3="Interreg",IF(AD71&lt;=0,"OK, Projekt-Eigenteile gedeckt, Budgetstelle zur Vorfinanzierung angeben ODER Ressort II finanziert vor und Projektleitung verzichtet entsprechend auf ihren 70-%-Anteil der Pauschale.","Budgetstelle erforderlich."),"")</f>
        <v/>
      </c>
      <c r="X72" s="1006"/>
      <c r="Y72" s="1006"/>
      <c r="Z72" s="1006"/>
      <c r="AA72" s="1006"/>
      <c r="AB72" s="1006"/>
      <c r="AC72" s="1006"/>
      <c r="AD72" s="1006"/>
      <c r="AE72" s="1006"/>
      <c r="AF72" s="1006"/>
      <c r="AG72" s="1006"/>
      <c r="AH72" s="1006"/>
      <c r="AI72" s="37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</row>
    <row r="73" spans="1:54" x14ac:dyDescent="0.35">
      <c r="B73" s="303"/>
      <c r="P73" s="4"/>
      <c r="Q73" s="4"/>
      <c r="R73" s="4"/>
      <c r="S73" s="330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7"/>
      <c r="AI73" s="37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0"/>
      <c r="AZ73" s="330"/>
      <c r="BA73" s="330"/>
      <c r="BB73" s="330"/>
    </row>
    <row r="74" spans="1:54" ht="14.5" customHeight="1" x14ac:dyDescent="0.35">
      <c r="B74" s="303"/>
      <c r="C74" s="306" t="s">
        <v>214</v>
      </c>
      <c r="D74" s="948"/>
      <c r="E74" s="949"/>
      <c r="F74" s="949"/>
      <c r="G74" s="949"/>
      <c r="H74" s="950"/>
      <c r="I74" s="4"/>
      <c r="J74" s="952"/>
      <c r="K74" s="952"/>
      <c r="L74" s="952"/>
      <c r="M74" s="952"/>
      <c r="N74" s="952"/>
      <c r="O74" s="4"/>
      <c r="P74" s="4"/>
      <c r="Q74" s="4"/>
      <c r="R74" s="4"/>
      <c r="S74" s="330"/>
      <c r="T74" s="305"/>
      <c r="U74" s="310" t="s">
        <v>617</v>
      </c>
      <c r="V74" s="305"/>
      <c r="W74" s="994" t="str">
        <f>IF(D3="DFG",IF(ISNUMBER(AF49),IF(AF49&lt;O65,"OK:Projektleitung gibt Budgetstelle zur Finanzierung des versteckten Eigenanteils an ODER versteckter Eigenanteil wird durch Ressort II vorfinanziert und Projektleitung verzichtet zugunsten Ressort II entsprechend auf Betrag ihres 70-%-Anteils.",CONCATENATE("Versteckter Eigenanteil ist zu hoch: Projektleitung muss zusätzliche Budgetstelle für ~ ",ROUND(AF49-O65,-2), " € angeben. Der versteckte Eigenanteil à ~ ",ROUND( AF49,-2)," € wird durch Ressort vorfinanziert und die Projektleitung verzichtet zugunsten von Ressort II auf ihren 70-%-Anteil")),"OK - es fällt kein versteckter Eigenanteil an"),"")</f>
        <v>OK - es fällt kein versteckter Eigenanteil an</v>
      </c>
      <c r="X74" s="995"/>
      <c r="Y74" s="995"/>
      <c r="Z74" s="995"/>
      <c r="AA74" s="995"/>
      <c r="AB74" s="995"/>
      <c r="AC74" s="995"/>
      <c r="AD74" s="995"/>
      <c r="AE74" s="995"/>
      <c r="AF74" s="995"/>
      <c r="AG74" s="995"/>
      <c r="AH74" s="996"/>
      <c r="AI74" s="37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330"/>
    </row>
    <row r="75" spans="1:54" x14ac:dyDescent="0.35">
      <c r="B75" s="303"/>
      <c r="C75" s="306" t="s">
        <v>215</v>
      </c>
      <c r="D75" s="948"/>
      <c r="E75" s="949"/>
      <c r="F75" s="949"/>
      <c r="G75" s="949"/>
      <c r="H75" s="950"/>
      <c r="I75" s="4"/>
      <c r="J75" s="952"/>
      <c r="K75" s="952"/>
      <c r="L75" s="952"/>
      <c r="M75" s="952"/>
      <c r="N75" s="952"/>
      <c r="O75" s="4"/>
      <c r="P75" s="4"/>
      <c r="Q75" s="4"/>
      <c r="R75" s="4"/>
      <c r="S75" s="330"/>
      <c r="T75" s="305"/>
      <c r="W75" s="997"/>
      <c r="X75" s="998"/>
      <c r="Y75" s="998"/>
      <c r="Z75" s="998"/>
      <c r="AA75" s="998"/>
      <c r="AB75" s="998"/>
      <c r="AC75" s="998"/>
      <c r="AD75" s="998"/>
      <c r="AE75" s="998"/>
      <c r="AF75" s="998"/>
      <c r="AG75" s="998"/>
      <c r="AH75" s="999"/>
      <c r="AI75" s="370"/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330"/>
      <c r="AY75" s="330"/>
      <c r="AZ75" s="330"/>
      <c r="BA75" s="330"/>
      <c r="BB75" s="330"/>
    </row>
    <row r="76" spans="1:54" ht="15" thickBot="1" x14ac:dyDescent="0.4">
      <c r="B76" s="303"/>
      <c r="C76" s="306"/>
      <c r="D76" s="1"/>
      <c r="E76" s="1"/>
      <c r="F76" s="4"/>
      <c r="G76" s="4"/>
      <c r="H76" s="4"/>
      <c r="I76" s="4"/>
      <c r="J76" s="953"/>
      <c r="K76" s="953"/>
      <c r="L76" s="953"/>
      <c r="M76" s="953"/>
      <c r="N76" s="953"/>
      <c r="O76" s="4"/>
      <c r="P76" s="4"/>
      <c r="Q76" s="4"/>
      <c r="R76" s="4"/>
      <c r="S76" s="330"/>
      <c r="T76" s="305"/>
      <c r="V76" s="305"/>
      <c r="W76" s="997"/>
      <c r="X76" s="998"/>
      <c r="Y76" s="998"/>
      <c r="Z76" s="998"/>
      <c r="AA76" s="998"/>
      <c r="AB76" s="998"/>
      <c r="AC76" s="998"/>
      <c r="AD76" s="998"/>
      <c r="AE76" s="998"/>
      <c r="AF76" s="998"/>
      <c r="AG76" s="998"/>
      <c r="AH76" s="999"/>
      <c r="AI76" s="37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</row>
    <row r="77" spans="1:54" x14ac:dyDescent="0.35">
      <c r="B77" s="303"/>
      <c r="C77" s="306"/>
      <c r="D77" s="1"/>
      <c r="E77" s="1"/>
      <c r="F77" s="4"/>
      <c r="G77" s="4"/>
      <c r="H77" s="4"/>
      <c r="I77" s="4"/>
      <c r="J77" s="951" t="s">
        <v>178</v>
      </c>
      <c r="K77" s="951"/>
      <c r="L77" s="951"/>
      <c r="M77" s="951"/>
      <c r="N77" s="951"/>
      <c r="O77" s="4"/>
      <c r="P77" s="4"/>
      <c r="Q77" s="4"/>
      <c r="R77" s="4"/>
      <c r="S77" s="4"/>
      <c r="T77" s="307"/>
      <c r="U77" s="307"/>
      <c r="V77" s="307"/>
      <c r="W77" s="1000"/>
      <c r="X77" s="1001"/>
      <c r="Y77" s="1001"/>
      <c r="Z77" s="1001"/>
      <c r="AA77" s="1001"/>
      <c r="AB77" s="1001"/>
      <c r="AC77" s="1001"/>
      <c r="AD77" s="1001"/>
      <c r="AE77" s="1001"/>
      <c r="AF77" s="1001"/>
      <c r="AG77" s="1001"/>
      <c r="AH77" s="1002"/>
      <c r="AI77" s="37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330"/>
      <c r="AY77" s="330"/>
      <c r="AZ77" s="330"/>
      <c r="BA77" s="330"/>
      <c r="BB77" s="330"/>
    </row>
    <row r="78" spans="1:54" ht="6.65" customHeight="1" thickBot="1" x14ac:dyDescent="0.4">
      <c r="B78" s="308"/>
      <c r="C78" s="312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71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</row>
    <row r="79" spans="1:54" ht="15" thickTop="1" x14ac:dyDescent="0.35">
      <c r="A79" s="330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330"/>
      <c r="AY79" s="330"/>
      <c r="AZ79" s="330"/>
      <c r="BA79" s="330"/>
      <c r="BB79" s="330"/>
    </row>
    <row r="80" spans="1:54" x14ac:dyDescent="0.35">
      <c r="A80" s="330"/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</row>
    <row r="81" spans="1:54" x14ac:dyDescent="0.35">
      <c r="A81" s="330"/>
      <c r="B81" s="330"/>
      <c r="C81" s="333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  <c r="BB81" s="330"/>
    </row>
    <row r="82" spans="1:54" x14ac:dyDescent="0.35">
      <c r="A82" s="330"/>
      <c r="B82" s="330"/>
      <c r="C82" s="333"/>
      <c r="D82" s="333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  <c r="BB82" s="330"/>
    </row>
    <row r="83" spans="1:54" x14ac:dyDescent="0.35">
      <c r="A83" s="330"/>
      <c r="B83" s="330"/>
      <c r="C83" s="333"/>
      <c r="D83" s="333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</row>
    <row r="84" spans="1:54" x14ac:dyDescent="0.35">
      <c r="A84" s="330"/>
      <c r="B84" s="330"/>
      <c r="C84" s="333"/>
      <c r="D84" s="333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  <c r="BB84" s="330"/>
    </row>
    <row r="85" spans="1:54" x14ac:dyDescent="0.35">
      <c r="A85" s="330"/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330"/>
      <c r="BA85" s="330"/>
      <c r="BB85" s="330"/>
    </row>
    <row r="86" spans="1:54" x14ac:dyDescent="0.35">
      <c r="A86" s="330"/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J86" s="330"/>
      <c r="AK86" s="330"/>
      <c r="AL86" s="330"/>
      <c r="AM86" s="330"/>
      <c r="AN86" s="330"/>
      <c r="AO86" s="330"/>
      <c r="AP86" s="330"/>
      <c r="AQ86" s="330"/>
      <c r="AR86" s="330"/>
      <c r="AS86" s="330"/>
      <c r="AT86" s="330"/>
      <c r="AU86" s="330"/>
      <c r="AV86" s="330"/>
      <c r="AW86" s="330"/>
      <c r="AX86" s="330"/>
      <c r="AY86" s="330"/>
      <c r="AZ86" s="330"/>
      <c r="BA86" s="330"/>
      <c r="BB86" s="330"/>
    </row>
    <row r="87" spans="1:54" x14ac:dyDescent="0.35">
      <c r="A87" s="330"/>
      <c r="B87" s="330"/>
      <c r="C87" s="333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J87" s="330"/>
      <c r="AK87" s="330"/>
      <c r="AL87" s="330"/>
      <c r="AM87" s="330"/>
      <c r="AN87" s="330"/>
      <c r="AO87" s="330"/>
      <c r="AP87" s="330"/>
      <c r="AQ87" s="330"/>
      <c r="AR87" s="330"/>
      <c r="AS87" s="330"/>
      <c r="AT87" s="330"/>
      <c r="AU87" s="330"/>
      <c r="AV87" s="330"/>
      <c r="AW87" s="330"/>
      <c r="AX87" s="330"/>
      <c r="AY87" s="330"/>
      <c r="AZ87" s="330"/>
      <c r="BA87" s="330"/>
      <c r="BB87" s="330"/>
    </row>
    <row r="88" spans="1:54" x14ac:dyDescent="0.35">
      <c r="A88" s="330"/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J88" s="330"/>
      <c r="AK88" s="330"/>
      <c r="AL88" s="330"/>
      <c r="AM88" s="330"/>
      <c r="AN88" s="330"/>
      <c r="AO88" s="330"/>
      <c r="AP88" s="330"/>
      <c r="AQ88" s="330"/>
      <c r="AR88" s="330"/>
      <c r="AS88" s="330"/>
      <c r="AT88" s="330"/>
      <c r="AU88" s="330"/>
      <c r="AV88" s="330"/>
      <c r="AW88" s="330"/>
      <c r="AX88" s="330"/>
      <c r="AY88" s="330"/>
      <c r="AZ88" s="330"/>
      <c r="BA88" s="330"/>
      <c r="BB88" s="330"/>
    </row>
    <row r="89" spans="1:54" x14ac:dyDescent="0.35">
      <c r="A89" s="330"/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J89" s="330"/>
      <c r="AK89" s="330"/>
      <c r="AL89" s="330"/>
      <c r="AM89" s="330"/>
      <c r="AN89" s="330"/>
      <c r="AO89" s="330"/>
      <c r="AP89" s="330"/>
      <c r="AQ89" s="330"/>
      <c r="AR89" s="330"/>
      <c r="AS89" s="330"/>
      <c r="AT89" s="330"/>
      <c r="AU89" s="330"/>
      <c r="AV89" s="330"/>
      <c r="AW89" s="330"/>
      <c r="AX89" s="330"/>
      <c r="AY89" s="330"/>
      <c r="AZ89" s="330"/>
      <c r="BA89" s="330"/>
      <c r="BB89" s="330"/>
    </row>
    <row r="90" spans="1:54" x14ac:dyDescent="0.35">
      <c r="A90" s="330"/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0"/>
    </row>
    <row r="91" spans="1:54" x14ac:dyDescent="0.35">
      <c r="A91" s="330"/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0"/>
      <c r="AY91" s="330"/>
      <c r="AZ91" s="330"/>
      <c r="BA91" s="330"/>
      <c r="BB91" s="330"/>
    </row>
    <row r="92" spans="1:54" x14ac:dyDescent="0.35">
      <c r="A92" s="330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</row>
    <row r="93" spans="1:54" x14ac:dyDescent="0.35">
      <c r="A93" s="330"/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J93" s="330"/>
      <c r="AK93" s="330"/>
      <c r="AL93" s="330"/>
      <c r="AM93" s="330"/>
      <c r="AN93" s="330"/>
      <c r="AO93" s="330"/>
      <c r="AP93" s="330"/>
      <c r="AQ93" s="330"/>
      <c r="AR93" s="330"/>
      <c r="AS93" s="330"/>
      <c r="AT93" s="330"/>
      <c r="AU93" s="330"/>
      <c r="AV93" s="330"/>
      <c r="AW93" s="330"/>
      <c r="AX93" s="330"/>
      <c r="AY93" s="330"/>
      <c r="AZ93" s="330"/>
      <c r="BA93" s="330"/>
      <c r="BB93" s="330"/>
    </row>
    <row r="94" spans="1:54" x14ac:dyDescent="0.35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J94" s="330"/>
      <c r="AK94" s="330"/>
      <c r="AL94" s="330"/>
      <c r="AM94" s="330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330"/>
      <c r="AY94" s="330"/>
      <c r="AZ94" s="330"/>
      <c r="BA94" s="330"/>
      <c r="BB94" s="330"/>
    </row>
    <row r="95" spans="1:54" x14ac:dyDescent="0.35">
      <c r="A95" s="330"/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</row>
    <row r="96" spans="1:54" x14ac:dyDescent="0.35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</row>
  </sheetData>
  <sheetProtection sheet="1" objects="1" scenarios="1"/>
  <mergeCells count="43">
    <mergeCell ref="G42:H42"/>
    <mergeCell ref="G44:H44"/>
    <mergeCell ref="D74:H74"/>
    <mergeCell ref="J74:N76"/>
    <mergeCell ref="D75:H75"/>
    <mergeCell ref="G51:H51"/>
    <mergeCell ref="G52:H52"/>
    <mergeCell ref="G47:H47"/>
    <mergeCell ref="G43:H43"/>
    <mergeCell ref="AC49:AE49"/>
    <mergeCell ref="W64:AH64"/>
    <mergeCell ref="W72:AH72"/>
    <mergeCell ref="W61:X61"/>
    <mergeCell ref="AA60:AB60"/>
    <mergeCell ref="U49:X49"/>
    <mergeCell ref="J77:N77"/>
    <mergeCell ref="F69:O69"/>
    <mergeCell ref="G53:H53"/>
    <mergeCell ref="W68:X68"/>
    <mergeCell ref="W60:X60"/>
    <mergeCell ref="W67:X67"/>
    <mergeCell ref="W74:AH77"/>
    <mergeCell ref="W20:X20"/>
    <mergeCell ref="W24:X24"/>
    <mergeCell ref="W28:X28"/>
    <mergeCell ref="W32:X32"/>
    <mergeCell ref="W35:X35"/>
    <mergeCell ref="U38:V38"/>
    <mergeCell ref="W38:X38"/>
    <mergeCell ref="E3:G3"/>
    <mergeCell ref="U12:V12"/>
    <mergeCell ref="U16:V16"/>
    <mergeCell ref="U20:V20"/>
    <mergeCell ref="U24:V24"/>
    <mergeCell ref="G8:H8"/>
    <mergeCell ref="N3:O3"/>
    <mergeCell ref="G9:H9"/>
    <mergeCell ref="W12:X12"/>
    <mergeCell ref="W16:X16"/>
    <mergeCell ref="U32:V32"/>
    <mergeCell ref="U35:V35"/>
    <mergeCell ref="Q8:R8"/>
    <mergeCell ref="U28:V28"/>
  </mergeCells>
  <conditionalFormatting sqref="Q57:R57 AH57">
    <cfRule type="cellIs" dxfId="19" priority="30" operator="greaterThan">
      <formula>$X$58</formula>
    </cfRule>
  </conditionalFormatting>
  <conditionalFormatting sqref="F13">
    <cfRule type="containsText" dxfId="18" priority="29" operator="containsText" text="@FoFö">
      <formula>NOT(ISERROR(SEARCH("@FoFö",F13)))</formula>
    </cfRule>
  </conditionalFormatting>
  <conditionalFormatting sqref="F17">
    <cfRule type="containsText" dxfId="17" priority="28" operator="containsText" text="@FoFö">
      <formula>NOT(ISERROR(SEARCH("@FoFö",F17)))</formula>
    </cfRule>
  </conditionalFormatting>
  <conditionalFormatting sqref="F25">
    <cfRule type="containsText" dxfId="16" priority="26" operator="containsText" text="@FoFö">
      <formula>NOT(ISERROR(SEARCH("@FoFö",F25)))</formula>
    </cfRule>
  </conditionalFormatting>
  <conditionalFormatting sqref="F21">
    <cfRule type="containsText" dxfId="15" priority="27" operator="containsText" text="@FoFö">
      <formula>NOT(ISERROR(SEARCH("@FoFö",F21)))</formula>
    </cfRule>
  </conditionalFormatting>
  <conditionalFormatting sqref="F29">
    <cfRule type="containsText" dxfId="14" priority="25" operator="containsText" text="@FoFö">
      <formula>NOT(ISERROR(SEARCH("@FoFö",F29)))</formula>
    </cfRule>
  </conditionalFormatting>
  <conditionalFormatting sqref="AI49">
    <cfRule type="containsText" dxfId="13" priority="23" operator="containsText" text="Beantragte Summe ausreichend">
      <formula>NOT(ISERROR(SEARCH("Beantragte Summe ausreichend",AI49)))</formula>
    </cfRule>
    <cfRule type="cellIs" dxfId="12" priority="24" operator="greaterThan">
      <formula>0</formula>
    </cfRule>
  </conditionalFormatting>
  <conditionalFormatting sqref="AH13">
    <cfRule type="beginsWith" dxfId="11" priority="20" operator="beginsWith" text="Z">
      <formula>LEFT(AH13,LEN("Z"))="Z"</formula>
    </cfRule>
  </conditionalFormatting>
  <conditionalFormatting sqref="AH17">
    <cfRule type="beginsWith" dxfId="10" priority="14" operator="beginsWith" text="Z">
      <formula>LEFT(AH17,LEN("Z"))="Z"</formula>
    </cfRule>
  </conditionalFormatting>
  <conditionalFormatting sqref="AH21">
    <cfRule type="beginsWith" dxfId="9" priority="13" operator="beginsWith" text="Z">
      <formula>LEFT(AH21,LEN("Z"))="Z"</formula>
    </cfRule>
  </conditionalFormatting>
  <conditionalFormatting sqref="AH25">
    <cfRule type="beginsWith" dxfId="8" priority="12" operator="beginsWith" text="Z">
      <formula>LEFT(AH25,LEN("Z"))="Z"</formula>
    </cfRule>
  </conditionalFormatting>
  <conditionalFormatting sqref="AH29">
    <cfRule type="beginsWith" dxfId="7" priority="11" operator="beginsWith" text="Z">
      <formula>LEFT(AH29,LEN("Z"))="Z"</formula>
    </cfRule>
  </conditionalFormatting>
  <conditionalFormatting sqref="AH33">
    <cfRule type="beginsWith" dxfId="6" priority="10" operator="beginsWith" text="Z">
      <formula>LEFT(AH33,LEN("Z"))="Z"</formula>
    </cfRule>
  </conditionalFormatting>
  <conditionalFormatting sqref="AH36">
    <cfRule type="beginsWith" dxfId="5" priority="9" operator="beginsWith" text="Z">
      <formula>LEFT(AH36,LEN("Z"))="Z"</formula>
    </cfRule>
  </conditionalFormatting>
  <conditionalFormatting sqref="AC49">
    <cfRule type="containsText" dxfId="4" priority="7" operator="containsText" text="Beantragte Summe ausreichend">
      <formula>NOT(ISERROR(SEARCH("Beantragte Summe ausreichend",AC49)))</formula>
    </cfRule>
    <cfRule type="cellIs" dxfId="3" priority="8" operator="greaterThan">
      <formula>0</formula>
    </cfRule>
  </conditionalFormatting>
  <conditionalFormatting sqref="AH39">
    <cfRule type="beginsWith" dxfId="2" priority="2" operator="beginsWith" text="Z">
      <formula>LEFT(AH39,LEN("Z"))="Z"</formula>
    </cfRule>
  </conditionalFormatting>
  <conditionalFormatting sqref="F39">
    <cfRule type="containsText" dxfId="1" priority="1" operator="containsText" text="@FoFö">
      <formula>NOT(ISERROR(SEARCH("@FoFö",F39)))</formula>
    </cfRule>
  </conditionalFormatting>
  <dataValidations count="23">
    <dataValidation type="decimal" allowBlank="1" showInputMessage="1" showErrorMessage="1" sqref="F35 F32">
      <formula1>0</formula1>
      <formula2>19</formula2>
    </dataValidation>
    <dataValidation type="decimal" allowBlank="1" showInputMessage="1" showErrorMessage="1" sqref="F14 F26 F40 F22 F30 W40 F18 W15 F45:F48 X9:AE10 W22 X2:AE2 X13:AE15 W18 X17:AE19 X21:AE23 W26 X25:AE27 W30 X29:AE30 W34 Y33:AE33 X33:X34 Y36:AE36 X36:X37 W37 F36 X39:AE40 F33">
      <formula1>0</formula1>
      <formula2>1</formula2>
    </dataValidation>
    <dataValidation showInputMessage="1" showErrorMessage="1" sqref="G16:N16 G12:N12 G24:N24 G28:N28 G20:N20 I38:N38 G38"/>
    <dataValidation type="list" allowBlank="1" showInputMessage="1" showErrorMessage="1" sqref="D17 D25 D21 D29">
      <formula1>$J$101:$J$102</formula1>
    </dataValidation>
    <dataValidation type="decimal" allowBlank="1" showInputMessage="1" showErrorMessage="1" sqref="AF67">
      <formula1>0</formula1>
      <formula2>X56</formula2>
    </dataValidation>
    <dataValidation type="list" allowBlank="1" showInputMessage="1" showErrorMessage="1" sqref="D35">
      <formula1>$I$99:$I$100</formula1>
    </dataValidation>
    <dataValidation type="list" allowBlank="1" showInputMessage="1" showErrorMessage="1" sqref="E16">
      <formula1>$D$99:$D$104</formula1>
    </dataValidation>
    <dataValidation type="list" allowBlank="1" showInputMessage="1" showErrorMessage="1" sqref="E20">
      <formula1>$D$99:$D$104</formula1>
    </dataValidation>
    <dataValidation type="list" allowBlank="1" showInputMessage="1" showErrorMessage="1" sqref="E24">
      <formula1>$D$99:$D$104</formula1>
    </dataValidation>
    <dataValidation type="list" allowBlank="1" showInputMessage="1" showErrorMessage="1" sqref="E28">
      <formula1>$D$99:$D$104</formula1>
    </dataValidation>
    <dataValidation type="list" allowBlank="1" showInputMessage="1" showErrorMessage="1" sqref="D16">
      <formula1>$C$99:$C$117</formula1>
    </dataValidation>
    <dataValidation type="list" allowBlank="1" showInputMessage="1" showErrorMessage="1" sqref="D20">
      <formula1>$C$99:$C$117</formula1>
    </dataValidation>
    <dataValidation type="list" allowBlank="1" showInputMessage="1" showErrorMessage="1" sqref="D24">
      <formula1>$C$99:$C$117</formula1>
    </dataValidation>
    <dataValidation type="list" allowBlank="1" showInputMessage="1" showErrorMessage="1" sqref="D28">
      <formula1>$C$99:$C$117</formula1>
    </dataValidation>
    <dataValidation type="list" allowBlank="1" showInputMessage="1" showErrorMessage="1" sqref="W16">
      <formula1>$B$150:$B$166</formula1>
    </dataValidation>
    <dataValidation type="list" allowBlank="1" showInputMessage="1" showErrorMessage="1" sqref="W20">
      <formula1>$B$150:$B$166</formula1>
    </dataValidation>
    <dataValidation type="list" allowBlank="1" showInputMessage="1" showErrorMessage="1" sqref="W24">
      <formula1>$B$150:$B$166</formula1>
    </dataValidation>
    <dataValidation type="list" allowBlank="1" showInputMessage="1" showErrorMessage="1" sqref="W28">
      <formula1>$B$150:$B$166</formula1>
    </dataValidation>
    <dataValidation type="list" allowBlank="1" showInputMessage="1" showErrorMessage="1" sqref="W32">
      <formula1>$B$150:$B$166</formula1>
    </dataValidation>
    <dataValidation type="list" allowBlank="1" showInputMessage="1" showErrorMessage="1" sqref="W35">
      <formula1>$B$150:$B$166</formula1>
    </dataValidation>
    <dataValidation type="list" allowBlank="1" showInputMessage="1" showErrorMessage="1" sqref="W38">
      <formula1>$B$150:$B$166</formula1>
    </dataValidation>
    <dataValidation type="whole" allowBlank="1" showInputMessage="1" showErrorMessage="1" sqref="G32 G35">
      <formula1>0</formula1>
      <formula2>8</formula2>
    </dataValidation>
    <dataValidation type="whole" allowBlank="1" showInputMessage="1" showErrorMessage="1" sqref="H32 H35">
      <formula1>0</formula1>
      <formula2>4</formula2>
    </dataValidation>
  </dataValidations>
  <pageMargins left="0.7" right="0.7" top="0.78740157499999996" bottom="0.78740157499999996" header="0.3" footer="0.3"/>
  <pageSetup paperSize="9" scale="4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'Infos FoFö'!$J$99:$J$100</xm:f>
          </x14:formula1>
          <xm:sqref>D13</xm:sqref>
        </x14:dataValidation>
        <x14:dataValidation type="list" allowBlank="1" showInputMessage="1" showErrorMessage="1">
          <x14:formula1>
            <xm:f>'Infos FoFö'!$I$99:$I$100</xm:f>
          </x14:formula1>
          <xm:sqref>D32</xm:sqref>
        </x14:dataValidation>
        <x14:dataValidation type="list" allowBlank="1" showInputMessage="1" showErrorMessage="1">
          <x14:formula1>
            <xm:f>'Infos FoFö'!$D$99:$D$104</xm:f>
          </x14:formula1>
          <xm:sqref>E12</xm:sqref>
        </x14:dataValidation>
        <x14:dataValidation type="list" allowBlank="1" showInputMessage="1" showErrorMessage="1">
          <x14:formula1>
            <xm:f>'Infos FoFö'!$C$99:$C$117</xm:f>
          </x14:formula1>
          <xm:sqref>D12</xm:sqref>
        </x14:dataValidation>
        <x14:dataValidation type="list" allowBlank="1" showInputMessage="1" showErrorMessage="1">
          <x14:formula1>
            <xm:f>'Infos FoFö'!$B$109:$B$111</xm:f>
          </x14:formula1>
          <xm:sqref>D3</xm:sqref>
        </x14:dataValidation>
        <x14:dataValidation type="list" allowBlank="1" showInputMessage="1" showErrorMessage="1">
          <x14:formula1>
            <xm:f>'Infos FoFö'!$B$153:$B$169</xm:f>
          </x14:formula1>
          <xm:sqref>W12</xm:sqref>
        </x14:dataValidation>
        <x14:dataValidation type="list" allowBlank="1" showInputMessage="1" showErrorMessage="1">
          <x14:formula1>
            <xm:f>'Infos FoFö'!$B$179:$B$185</xm:f>
          </x14:formula1>
          <xm:sqref>V56</xm:sqref>
        </x14:dataValidation>
        <x14:dataValidation type="list" allowBlank="1" showInputMessage="1" showErrorMessage="1">
          <x14:formula1>
            <xm:f>Prof!$B$13:$B$28</xm:f>
          </x14:formula1>
          <xm:sqref>E38</xm:sqref>
        </x14:dataValidation>
        <x14:dataValidation type="list" allowBlank="1" showInputMessage="1" showErrorMessage="1">
          <x14:formula1>
            <xm:f>Prof!$K$9:$K$15</xm:f>
          </x14:formula1>
          <xm:sqref>D38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35"/>
  <sheetViews>
    <sheetView workbookViewId="0">
      <selection activeCell="M31" sqref="M31"/>
    </sheetView>
  </sheetViews>
  <sheetFormatPr baseColWidth="10" defaultRowHeight="14.5" x14ac:dyDescent="0.35"/>
  <cols>
    <col min="1" max="1" width="3" customWidth="1"/>
    <col min="2" max="2" width="3.26953125" customWidth="1"/>
    <col min="3" max="3" width="36.453125" customWidth="1"/>
    <col min="4" max="4" width="6.54296875" customWidth="1"/>
    <col min="5" max="5" width="9.1796875" customWidth="1"/>
    <col min="6" max="6" width="3.81640625" customWidth="1"/>
    <col min="7" max="7" width="13.7265625" customWidth="1"/>
    <col min="8" max="8" width="6" bestFit="1" customWidth="1"/>
    <col min="9" max="9" width="9" bestFit="1" customWidth="1"/>
    <col min="10" max="10" width="2.7265625" bestFit="1" customWidth="1"/>
    <col min="11" max="11" width="13.81640625" customWidth="1"/>
    <col min="12" max="12" width="6" bestFit="1" customWidth="1"/>
    <col min="13" max="13" width="9" bestFit="1" customWidth="1"/>
    <col min="14" max="14" width="2.7265625" bestFit="1" customWidth="1"/>
    <col min="15" max="15" width="13" customWidth="1"/>
    <col min="16" max="16" width="6" bestFit="1" customWidth="1"/>
    <col min="17" max="17" width="9" bestFit="1" customWidth="1"/>
    <col min="18" max="18" width="2.7265625" bestFit="1" customWidth="1"/>
    <col min="19" max="19" width="13" customWidth="1"/>
    <col min="21" max="21" width="3.26953125" customWidth="1"/>
  </cols>
  <sheetData>
    <row r="1" spans="2:28" ht="15" thickBot="1" x14ac:dyDescent="0.4"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2:28" ht="15" thickTop="1" x14ac:dyDescent="0.35">
      <c r="B2" s="912"/>
      <c r="C2" s="913" t="s">
        <v>45</v>
      </c>
      <c r="D2" s="924" t="s">
        <v>203</v>
      </c>
      <c r="E2" s="869"/>
      <c r="F2" s="925" t="s">
        <v>202</v>
      </c>
      <c r="G2" s="484"/>
      <c r="H2" s="926" t="s">
        <v>213</v>
      </c>
      <c r="I2" s="926"/>
      <c r="J2" s="929"/>
      <c r="K2" s="929"/>
      <c r="L2" s="930" t="s">
        <v>288</v>
      </c>
      <c r="M2" s="927"/>
      <c r="N2" s="931"/>
      <c r="O2" s="932"/>
      <c r="P2" s="928"/>
      <c r="Q2" s="211"/>
      <c r="R2" s="211"/>
      <c r="S2" s="211"/>
      <c r="T2" s="211"/>
      <c r="U2" s="210"/>
      <c r="V2" s="330"/>
      <c r="W2" s="330"/>
      <c r="X2" s="330"/>
      <c r="Y2" s="330"/>
      <c r="Z2" s="330"/>
      <c r="AA2" s="330"/>
      <c r="AB2" s="330"/>
    </row>
    <row r="3" spans="2:28" x14ac:dyDescent="0.35">
      <c r="B3" s="914"/>
      <c r="C3" s="4"/>
      <c r="D3" s="293" t="s">
        <v>224</v>
      </c>
      <c r="E3" s="294"/>
      <c r="F3" s="294"/>
      <c r="G3" s="294"/>
      <c r="H3" s="294"/>
      <c r="I3" s="295"/>
      <c r="J3" s="4"/>
      <c r="K3" s="4"/>
      <c r="L3" s="229"/>
      <c r="M3" s="4"/>
      <c r="N3" s="229"/>
      <c r="O3" s="4"/>
      <c r="P3" s="4"/>
      <c r="Q3" s="4"/>
      <c r="R3" s="4"/>
      <c r="S3" s="4"/>
      <c r="T3" s="4"/>
      <c r="U3" s="206"/>
      <c r="V3" s="330"/>
      <c r="W3" s="330"/>
      <c r="X3" s="330"/>
      <c r="Y3" s="330"/>
      <c r="Z3" s="330"/>
      <c r="AA3" s="330"/>
      <c r="AB3" s="330"/>
    </row>
    <row r="4" spans="2:28" ht="15" thickBot="1" x14ac:dyDescent="0.4">
      <c r="B4" s="914"/>
      <c r="C4" s="4"/>
      <c r="D4" s="92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06"/>
      <c r="V4" s="330"/>
      <c r="W4" s="330"/>
      <c r="X4" s="330"/>
      <c r="Y4" s="330"/>
      <c r="Z4" s="330"/>
      <c r="AA4" s="330"/>
      <c r="AB4" s="330"/>
    </row>
    <row r="5" spans="2:28" x14ac:dyDescent="0.35">
      <c r="B5" s="914"/>
      <c r="C5" s="4"/>
      <c r="D5" s="87" t="s">
        <v>708</v>
      </c>
      <c r="E5" s="88" t="s">
        <v>709</v>
      </c>
      <c r="F5" s="51"/>
      <c r="G5" s="51"/>
      <c r="H5" s="87" t="s">
        <v>708</v>
      </c>
      <c r="I5" s="88" t="s">
        <v>709</v>
      </c>
      <c r="J5" s="51"/>
      <c r="K5" s="52"/>
      <c r="L5" s="87" t="s">
        <v>708</v>
      </c>
      <c r="M5" s="88" t="s">
        <v>707</v>
      </c>
      <c r="N5" s="51"/>
      <c r="O5" s="52"/>
      <c r="P5" s="87" t="s">
        <v>708</v>
      </c>
      <c r="Q5" s="88" t="s">
        <v>707</v>
      </c>
      <c r="R5" s="51"/>
      <c r="S5" s="52"/>
      <c r="T5" s="889" t="s">
        <v>16</v>
      </c>
      <c r="U5" s="206"/>
      <c r="V5" s="330"/>
      <c r="W5" s="330"/>
      <c r="X5" s="330"/>
      <c r="Y5" s="330"/>
      <c r="Z5" s="330"/>
      <c r="AA5" s="330"/>
      <c r="AB5" s="330"/>
    </row>
    <row r="6" spans="2:28" ht="15" thickBot="1" x14ac:dyDescent="0.4">
      <c r="B6" s="914"/>
      <c r="C6" s="4"/>
      <c r="D6" s="92"/>
      <c r="E6" s="5"/>
      <c r="F6" s="5"/>
      <c r="G6" s="5"/>
      <c r="H6" s="92"/>
      <c r="I6" s="5"/>
      <c r="J6" s="5"/>
      <c r="K6" s="58"/>
      <c r="L6" s="92"/>
      <c r="M6" s="921"/>
      <c r="N6" s="5"/>
      <c r="O6" s="58"/>
      <c r="P6" s="92"/>
      <c r="Q6" s="921"/>
      <c r="R6" s="5"/>
      <c r="S6" s="58"/>
      <c r="T6" s="107"/>
      <c r="U6" s="206"/>
      <c r="V6" s="330"/>
      <c r="W6" s="330"/>
      <c r="X6" s="330"/>
      <c r="Y6" s="330"/>
      <c r="Z6" s="330"/>
      <c r="AA6" s="330"/>
      <c r="AB6" s="330"/>
    </row>
    <row r="7" spans="2:28" x14ac:dyDescent="0.35">
      <c r="B7" s="914"/>
      <c r="C7" s="106" t="s">
        <v>686</v>
      </c>
      <c r="D7" s="73"/>
      <c r="E7" s="51"/>
      <c r="F7" s="51"/>
      <c r="G7" s="881" t="s">
        <v>76</v>
      </c>
      <c r="H7" s="73"/>
      <c r="I7" s="51"/>
      <c r="J7" s="51"/>
      <c r="K7" s="882" t="s">
        <v>76</v>
      </c>
      <c r="L7" s="73"/>
      <c r="M7" s="51"/>
      <c r="N7" s="51"/>
      <c r="O7" s="882" t="s">
        <v>76</v>
      </c>
      <c r="P7" s="73"/>
      <c r="Q7" s="51"/>
      <c r="R7" s="51"/>
      <c r="S7" s="882" t="s">
        <v>76</v>
      </c>
      <c r="T7" s="890" t="s">
        <v>14</v>
      </c>
      <c r="U7" s="206"/>
      <c r="V7" s="330"/>
      <c r="W7" s="330"/>
      <c r="X7" s="330"/>
      <c r="Y7" s="330"/>
      <c r="Z7" s="330"/>
      <c r="AA7" s="330"/>
      <c r="AB7" s="330"/>
    </row>
    <row r="8" spans="2:28" x14ac:dyDescent="0.35">
      <c r="B8" s="914"/>
      <c r="C8" s="107" t="s">
        <v>1</v>
      </c>
      <c r="D8" s="74"/>
      <c r="E8" s="4"/>
      <c r="F8" s="4"/>
      <c r="G8" s="533">
        <v>3</v>
      </c>
      <c r="H8" s="74"/>
      <c r="I8" s="4"/>
      <c r="J8" s="4"/>
      <c r="K8" s="870">
        <v>2</v>
      </c>
      <c r="L8" s="74"/>
      <c r="M8" s="4"/>
      <c r="N8" s="4"/>
      <c r="O8" s="870">
        <v>2</v>
      </c>
      <c r="P8" s="74"/>
      <c r="Q8" s="4"/>
      <c r="R8" s="4"/>
      <c r="S8" s="870">
        <v>2</v>
      </c>
      <c r="T8" s="107"/>
      <c r="U8" s="206"/>
      <c r="V8" s="330"/>
      <c r="W8" s="330"/>
      <c r="X8" s="330"/>
      <c r="Y8" s="330"/>
      <c r="Z8" s="330"/>
      <c r="AA8" s="330"/>
      <c r="AB8" s="330"/>
    </row>
    <row r="9" spans="2:28" x14ac:dyDescent="0.35">
      <c r="B9" s="914"/>
      <c r="C9" s="107" t="s">
        <v>687</v>
      </c>
      <c r="D9" s="74"/>
      <c r="E9" s="4"/>
      <c r="F9" s="4"/>
      <c r="G9" s="533" t="s">
        <v>92</v>
      </c>
      <c r="H9" s="74"/>
      <c r="I9" s="4"/>
      <c r="J9" s="4"/>
      <c r="K9" s="870" t="s">
        <v>92</v>
      </c>
      <c r="L9" s="74"/>
      <c r="M9" s="4"/>
      <c r="N9" s="4"/>
      <c r="O9" s="870" t="s">
        <v>92</v>
      </c>
      <c r="P9" s="74"/>
      <c r="Q9" s="4"/>
      <c r="R9" s="4"/>
      <c r="S9" s="870" t="s">
        <v>92</v>
      </c>
      <c r="T9" s="107"/>
      <c r="U9" s="206"/>
      <c r="V9" s="330"/>
      <c r="W9" s="330"/>
      <c r="X9" s="330"/>
      <c r="Y9" s="330"/>
      <c r="Z9" s="330"/>
      <c r="AA9" s="330"/>
      <c r="AB9" s="330"/>
    </row>
    <row r="10" spans="2:28" x14ac:dyDescent="0.35">
      <c r="B10" s="914"/>
      <c r="C10" s="107" t="s">
        <v>692</v>
      </c>
      <c r="D10" s="74"/>
      <c r="E10" s="4"/>
      <c r="F10" s="4"/>
      <c r="G10" s="922">
        <v>1</v>
      </c>
      <c r="H10" s="74"/>
      <c r="I10" s="4"/>
      <c r="J10" s="4"/>
      <c r="K10" s="920">
        <v>0</v>
      </c>
      <c r="L10" s="74"/>
      <c r="M10" s="4"/>
      <c r="N10" s="4"/>
      <c r="O10" s="920">
        <v>0</v>
      </c>
      <c r="P10" s="74"/>
      <c r="Q10" s="4"/>
      <c r="R10" s="4"/>
      <c r="S10" s="920">
        <v>0</v>
      </c>
      <c r="T10" s="561">
        <f>T16/39.83</f>
        <v>0</v>
      </c>
      <c r="U10" s="206"/>
      <c r="V10" s="330"/>
      <c r="W10" s="330"/>
      <c r="X10" s="330"/>
      <c r="Y10" s="330"/>
      <c r="Z10" s="330"/>
      <c r="AA10" s="330"/>
      <c r="AB10" s="330"/>
    </row>
    <row r="11" spans="2:28" ht="15" thickBot="1" x14ac:dyDescent="0.4">
      <c r="B11" s="914"/>
      <c r="C11" s="108" t="s">
        <v>698</v>
      </c>
      <c r="D11" s="92"/>
      <c r="E11" s="5"/>
      <c r="F11" s="5"/>
      <c r="G11" s="921">
        <v>24</v>
      </c>
      <c r="H11" s="92"/>
      <c r="I11" s="5"/>
      <c r="J11" s="5"/>
      <c r="K11" s="919">
        <v>0</v>
      </c>
      <c r="L11" s="92"/>
      <c r="M11" s="5"/>
      <c r="N11" s="5"/>
      <c r="O11" s="919">
        <v>0</v>
      </c>
      <c r="P11" s="92"/>
      <c r="Q11" s="5"/>
      <c r="R11" s="5"/>
      <c r="S11" s="919">
        <v>0</v>
      </c>
      <c r="T11" s="919">
        <v>24</v>
      </c>
      <c r="U11" s="206"/>
      <c r="V11" s="330"/>
      <c r="W11" s="330"/>
      <c r="X11" s="330"/>
      <c r="Y11" s="330"/>
      <c r="Z11" s="330"/>
      <c r="AA11" s="330"/>
      <c r="AB11" s="330"/>
    </row>
    <row r="12" spans="2:28" x14ac:dyDescent="0.35">
      <c r="B12" s="914"/>
      <c r="C12" s="107" t="s">
        <v>699</v>
      </c>
      <c r="D12" s="74"/>
      <c r="E12" s="4"/>
      <c r="F12" s="4"/>
      <c r="G12" s="479">
        <f>ROUND(G11*10.5/12*G10,3)</f>
        <v>21</v>
      </c>
      <c r="H12" s="74"/>
      <c r="I12" s="4"/>
      <c r="J12" s="4"/>
      <c r="K12" s="477">
        <f>ROUND(K11*10.5/12*K10,3)</f>
        <v>0</v>
      </c>
      <c r="L12" s="74"/>
      <c r="M12" s="4"/>
      <c r="N12" s="4"/>
      <c r="O12" s="479">
        <f>ROUND(O11*10.5/12*O10,3)</f>
        <v>0</v>
      </c>
      <c r="P12" s="74"/>
      <c r="Q12" s="4"/>
      <c r="R12" s="4"/>
      <c r="S12" s="477">
        <f>ROUND(S11*10.5/12*S10,3)</f>
        <v>0</v>
      </c>
      <c r="T12" s="894">
        <f>ROUND(T11*10.5/12*T10,3)</f>
        <v>0</v>
      </c>
      <c r="U12" s="206"/>
      <c r="V12" s="330"/>
      <c r="W12" s="330"/>
      <c r="X12" s="330"/>
      <c r="Y12" s="330"/>
      <c r="Z12" s="330"/>
      <c r="AA12" s="330"/>
      <c r="AB12" s="330"/>
    </row>
    <row r="13" spans="2:28" x14ac:dyDescent="0.35">
      <c r="B13" s="914"/>
      <c r="C13" s="888" t="s">
        <v>149</v>
      </c>
      <c r="D13" s="74"/>
      <c r="E13" s="4"/>
      <c r="F13" s="4"/>
      <c r="G13" s="864">
        <f>IF($G$7='Infos FoFö'!$C$99,1,IF($G$7='Infos FoFö'!$C$100,2,IF($G$7='Infos FoFö'!$C$101,3,IF($G$7='Infos FoFö'!$C$102,4,IF($G$7='Infos FoFö'!$C$103,5,IF($G$7='Infos FoFö'!$C$104,6,IF($G$7='Infos FoFö'!$C$105,7,IF($G$7='Infos FoFö'!$C$106,8,IF($G$7='Infos FoFö'!$C$107,9,IF($G$7='Infos FoFö'!$C$108,10,IF($G$7='Infos FoFö'!$C$109,11,IF($G$7='Infos FoFö'!$C$110,12,IF($G$7='Infos FoFö'!$C$111,13,IF($G$7='Infos FoFö'!$C$112,14,IF($G$7='Infos FoFö'!$C$113,15,IF($G$7='Infos FoFö'!$C$114,16,IF($G$7='Infos FoFö'!$C$115,17,IF($G$7='Infos FoFö'!$C$116,18,IF($G$7='Infos FoFö'!$C$117,19,"Fehler")))))))))))))))))))</f>
        <v>5</v>
      </c>
      <c r="H13" s="74"/>
      <c r="I13" s="4"/>
      <c r="J13" s="4"/>
      <c r="K13" s="871">
        <f>IF($G$7='Infos FoFö'!$C$99,1,IF($G$7='Infos FoFö'!$C$100,2,IF($G$7='Infos FoFö'!$C$101,3,IF($G$7='Infos FoFö'!$C$102,4,IF($G$7='Infos FoFö'!$C$103,5,IF($G$7='Infos FoFö'!$C$104,6,IF($G$7='Infos FoFö'!$C$105,7,IF($G$7='Infos FoFö'!$C$106,8,IF($G$7='Infos FoFö'!$C$107,9,IF($G$7='Infos FoFö'!$C$108,10,IF($G$7='Infos FoFö'!$C$109,11,IF($G$7='Infos FoFö'!$C$110,12,IF($G$7='Infos FoFö'!$C$111,13,IF($G$7='Infos FoFö'!$C$112,14,IF($G$7='Infos FoFö'!$C$113,15,IF($G$7='Infos FoFö'!$C$114,16,IF($G$7='Infos FoFö'!$C$115,17,IF($G$7='Infos FoFö'!$C$116,18,IF($G$7='Infos FoFö'!$C$117,19,"Fehler")))))))))))))))))))</f>
        <v>5</v>
      </c>
      <c r="L13" s="74"/>
      <c r="M13" s="4"/>
      <c r="N13" s="4"/>
      <c r="O13" s="864">
        <f>IF($G$7='Infos FoFö'!$C$99,1,IF($G$7='Infos FoFö'!$C$100,2,IF($G$7='Infos FoFö'!$C$101,3,IF($G$7='Infos FoFö'!$C$102,4,IF($G$7='Infos FoFö'!$C$103,5,IF($G$7='Infos FoFö'!$C$104,6,IF($G$7='Infos FoFö'!$C$105,7,IF($G$7='Infos FoFö'!$C$106,8,IF($G$7='Infos FoFö'!$C$107,9,IF($G$7='Infos FoFö'!$C$108,10,IF($G$7='Infos FoFö'!$C$109,11,IF($G$7='Infos FoFö'!$C$110,12,IF($G$7='Infos FoFö'!$C$111,13,IF($G$7='Infos FoFö'!$C$112,14,IF($G$7='Infos FoFö'!$C$113,15,IF($G$7='Infos FoFö'!$C$114,16,IF($G$7='Infos FoFö'!$C$115,17,IF($G$7='Infos FoFö'!$C$116,18,IF($G$7='Infos FoFö'!$C$117,19,"Fehler")))))))))))))))))))</f>
        <v>5</v>
      </c>
      <c r="P13" s="74"/>
      <c r="Q13" s="4"/>
      <c r="R13" s="4"/>
      <c r="S13" s="871">
        <f>IF($G$7='Infos FoFö'!$C$99,1,IF($G$7='Infos FoFö'!$C$100,2,IF($G$7='Infos FoFö'!$C$101,3,IF($G$7='Infos FoFö'!$C$102,4,IF($G$7='Infos FoFö'!$C$103,5,IF($G$7='Infos FoFö'!$C$104,6,IF($G$7='Infos FoFö'!$C$105,7,IF($G$7='Infos FoFö'!$C$106,8,IF($G$7='Infos FoFö'!$C$107,9,IF($G$7='Infos FoFö'!$C$108,10,IF($G$7='Infos FoFö'!$C$109,11,IF($G$7='Infos FoFö'!$C$110,12,IF($G$7='Infos FoFö'!$C$111,13,IF($G$7='Infos FoFö'!$C$112,14,IF($G$7='Infos FoFö'!$C$113,15,IF($G$7='Infos FoFö'!$C$114,16,IF($G$7='Infos FoFö'!$C$115,17,IF($G$7='Infos FoFö'!$C$116,18,IF($G$7='Infos FoFö'!$C$117,19,"Fehler")))))))))))))))))))</f>
        <v>5</v>
      </c>
      <c r="T13" s="107"/>
      <c r="U13" s="206"/>
      <c r="V13" s="330"/>
      <c r="W13" s="330"/>
      <c r="X13" s="330"/>
      <c r="Y13" s="330"/>
      <c r="Z13" s="330"/>
      <c r="AA13" s="330"/>
      <c r="AB13" s="330"/>
    </row>
    <row r="14" spans="2:28" x14ac:dyDescent="0.35">
      <c r="B14" s="914"/>
      <c r="C14" s="888" t="s">
        <v>159</v>
      </c>
      <c r="D14" s="74"/>
      <c r="E14" s="4"/>
      <c r="F14" s="4"/>
      <c r="G14" s="863">
        <f>2+($G$13-1)*6+(6-$G$8)</f>
        <v>29</v>
      </c>
      <c r="H14" s="74"/>
      <c r="I14" s="4"/>
      <c r="J14" s="4"/>
      <c r="K14" s="872">
        <f>2+($G$13-1)*6+(6-$G$8)</f>
        <v>29</v>
      </c>
      <c r="L14" s="74"/>
      <c r="M14" s="4"/>
      <c r="N14" s="4"/>
      <c r="O14" s="863">
        <f>2+($G$13-1)*6+(6-$G$8)</f>
        <v>29</v>
      </c>
      <c r="P14" s="74"/>
      <c r="Q14" s="4"/>
      <c r="R14" s="4"/>
      <c r="S14" s="872">
        <f>2+($G$13-1)*6+(6-$G$8)</f>
        <v>29</v>
      </c>
      <c r="T14" s="107"/>
      <c r="U14" s="206"/>
      <c r="V14" s="330"/>
      <c r="W14" s="330"/>
      <c r="X14" s="330"/>
      <c r="Y14" s="330"/>
      <c r="Z14" s="330"/>
      <c r="AA14" s="330"/>
      <c r="AB14" s="330"/>
    </row>
    <row r="15" spans="2:28" x14ac:dyDescent="0.35">
      <c r="B15" s="914"/>
      <c r="C15" s="107"/>
      <c r="D15" s="74"/>
      <c r="E15" s="4"/>
      <c r="F15" s="4"/>
      <c r="G15" s="883">
        <f>INDEX(Tabelle!$A$4:$I$118,$G$14,IF($G$9="bis Nov22",3,IF($G$9="Dez22-2023",4,MATCH($G$9,Tabelle!$A$4:$I$4))))</f>
        <v>4748.54</v>
      </c>
      <c r="H15" s="74"/>
      <c r="I15" s="4"/>
      <c r="J15" s="4"/>
      <c r="K15" s="873">
        <f>INDEX(Tabelle!$A$4:$I$118,$G$14,IF($G$9="bis Nov22",3,IF($G$9="Dez22-2023",4,MATCH($G$9,Tabelle!$A$4:$I$4))))</f>
        <v>4748.54</v>
      </c>
      <c r="L15" s="74"/>
      <c r="M15" s="4"/>
      <c r="N15" s="4"/>
      <c r="O15" s="883">
        <f>INDEX(Tabelle!$A$4:$I$118,$G$14,IF($G$9="bis Nov22",3,IF($G$9="Dez22-2023",4,MATCH($G$9,Tabelle!$A$4:$I$4))))</f>
        <v>4748.54</v>
      </c>
      <c r="P15" s="74"/>
      <c r="Q15" s="4"/>
      <c r="R15" s="4"/>
      <c r="S15" s="873">
        <f>INDEX(Tabelle!$A$4:$I$118,$G$14,IF($G$9="bis Nov22",3,IF($G$9="Dez22-2023",4,MATCH($G$9,Tabelle!$A$4:$I$4))))</f>
        <v>4748.54</v>
      </c>
      <c r="T15" s="107"/>
      <c r="U15" s="206"/>
      <c r="V15" s="330"/>
      <c r="W15" s="330"/>
      <c r="X15" s="330"/>
      <c r="Y15" s="330"/>
      <c r="Z15" s="330"/>
      <c r="AA15" s="330"/>
      <c r="AB15" s="330"/>
    </row>
    <row r="16" spans="2:28" x14ac:dyDescent="0.35">
      <c r="B16" s="914"/>
      <c r="C16" s="107" t="s">
        <v>693</v>
      </c>
      <c r="D16" s="74"/>
      <c r="E16" s="4"/>
      <c r="F16" s="4"/>
      <c r="G16" s="884">
        <f>G10*39.83</f>
        <v>39.83</v>
      </c>
      <c r="H16" s="74"/>
      <c r="I16" s="4"/>
      <c r="J16" s="4"/>
      <c r="K16" s="874">
        <f>K10*39.83</f>
        <v>0</v>
      </c>
      <c r="L16" s="74"/>
      <c r="M16" s="4"/>
      <c r="N16" s="4"/>
      <c r="O16" s="884">
        <f>O10*39.83</f>
        <v>0</v>
      </c>
      <c r="P16" s="74"/>
      <c r="Q16" s="4"/>
      <c r="R16" s="4"/>
      <c r="S16" s="874">
        <f>S10*39.83</f>
        <v>0</v>
      </c>
      <c r="T16" s="918">
        <v>0</v>
      </c>
      <c r="U16" s="206"/>
      <c r="V16" s="330"/>
      <c r="W16" s="330"/>
      <c r="X16" s="330"/>
      <c r="Y16" s="330"/>
      <c r="Z16" s="330"/>
      <c r="AA16" s="330"/>
      <c r="AB16" s="330"/>
    </row>
    <row r="17" spans="2:28" x14ac:dyDescent="0.35">
      <c r="B17" s="914"/>
      <c r="C17" s="107"/>
      <c r="D17" s="74"/>
      <c r="E17" s="4"/>
      <c r="F17" s="4"/>
      <c r="G17" s="885">
        <f>G10*G15</f>
        <v>4748.54</v>
      </c>
      <c r="H17" s="74"/>
      <c r="I17" s="4"/>
      <c r="J17" s="4"/>
      <c r="K17" s="875">
        <f>K10*K15</f>
        <v>0</v>
      </c>
      <c r="L17" s="74"/>
      <c r="M17" s="4"/>
      <c r="N17" s="4"/>
      <c r="O17" s="885">
        <f>O10*O15</f>
        <v>0</v>
      </c>
      <c r="P17" s="74"/>
      <c r="Q17" s="4"/>
      <c r="R17" s="4"/>
      <c r="S17" s="875">
        <f>S10*S15</f>
        <v>0</v>
      </c>
      <c r="T17" s="891">
        <f>IF(T7="SHK",'Infos FoFö'!$D$40,'Infos FoFö'!$C$40)*(1+IF((T16*'Infos FoFö'!$C$49*IF(T7="SHK",'Infos FoFö'!$D$40,'Infos FoFö'!$C$40))&gt;='Infos FoFö'!$C$44,'Infos FoFö'!$C$42,'Infos FoFö'!$C$43))*T16*'Infos FoFö'!$C$49</f>
        <v>0</v>
      </c>
      <c r="U17" s="206"/>
      <c r="V17" s="330"/>
      <c r="W17" s="330"/>
      <c r="X17" s="330"/>
      <c r="Y17" s="330"/>
      <c r="Z17" s="330"/>
      <c r="AA17" s="330"/>
      <c r="AB17" s="330"/>
    </row>
    <row r="18" spans="2:28" x14ac:dyDescent="0.35">
      <c r="B18" s="914"/>
      <c r="C18" s="107" t="s">
        <v>688</v>
      </c>
      <c r="D18" s="876">
        <f>IF(G9="bis Nov22",INDEX(Tabelle!$A$4:$K$118,$G$14,10),INDEX(Tabelle!$A$4:$K$118,$G$14,11))</f>
        <v>0.45200000000000001</v>
      </c>
      <c r="E18" s="865">
        <f>D18*G17</f>
        <v>2146.3400799999999</v>
      </c>
      <c r="F18" s="866">
        <v>1</v>
      </c>
      <c r="G18" s="414">
        <f>F18*E18</f>
        <v>2146.3400799999999</v>
      </c>
      <c r="H18" s="876">
        <f>IF(K9="bis Nov22",INDEX(Tabelle!$A$4:$K$118,$G$14,10),INDEX(Tabelle!$A$4:$K$118,$G$14,11))</f>
        <v>0.45200000000000001</v>
      </c>
      <c r="I18" s="865">
        <f>H18*K17</f>
        <v>0</v>
      </c>
      <c r="J18" s="866">
        <v>1</v>
      </c>
      <c r="K18" s="415">
        <f>J18*I18</f>
        <v>0</v>
      </c>
      <c r="L18" s="907">
        <f>IF(O9="bis Nov22",INDEX(Tabelle!$A$4:$K$118,$G$14,10),INDEX(Tabelle!$A$4:$K$118,$G$14,11))</f>
        <v>0.45200000000000001</v>
      </c>
      <c r="M18" s="908">
        <f>L18*O17</f>
        <v>0</v>
      </c>
      <c r="N18" s="866">
        <v>1</v>
      </c>
      <c r="O18" s="414">
        <f>N18*M18</f>
        <v>0</v>
      </c>
      <c r="P18" s="907">
        <f>IF(S9="bis Nov22",INDEX(Tabelle!$A$4:$K$118,$G$14,10),INDEX(Tabelle!$A$4:$K$118,$G$14,11))</f>
        <v>0.45200000000000001</v>
      </c>
      <c r="Q18" s="908">
        <f>P18*S17</f>
        <v>0</v>
      </c>
      <c r="R18" s="866">
        <v>1</v>
      </c>
      <c r="S18" s="415">
        <f>R18*Q18</f>
        <v>0</v>
      </c>
      <c r="T18" s="107"/>
      <c r="U18" s="206"/>
      <c r="V18" s="330"/>
      <c r="W18" s="330"/>
      <c r="X18" s="330"/>
      <c r="Y18" s="330"/>
      <c r="Z18" s="330"/>
      <c r="AA18" s="330"/>
      <c r="AB18" s="330"/>
    </row>
    <row r="19" spans="2:28" x14ac:dyDescent="0.35">
      <c r="B19" s="914"/>
      <c r="C19" s="107" t="s">
        <v>689</v>
      </c>
      <c r="D19" s="877">
        <f>'Infos FoFö'!$C$68</f>
        <v>6.65</v>
      </c>
      <c r="E19" s="865">
        <f>D19*G10</f>
        <v>6.65</v>
      </c>
      <c r="F19" s="867">
        <v>12</v>
      </c>
      <c r="G19" s="414">
        <f>F19*E19</f>
        <v>79.800000000000011</v>
      </c>
      <c r="H19" s="877">
        <f>'Infos FoFö'!$C$68</f>
        <v>6.65</v>
      </c>
      <c r="I19" s="865">
        <f>H19*K10</f>
        <v>0</v>
      </c>
      <c r="J19" s="867">
        <v>12</v>
      </c>
      <c r="K19" s="415">
        <f>J19*I19</f>
        <v>0</v>
      </c>
      <c r="L19" s="909">
        <f>'Infos FoFö'!$C$68</f>
        <v>6.65</v>
      </c>
      <c r="M19" s="908">
        <f>L19*O10</f>
        <v>0</v>
      </c>
      <c r="N19" s="867">
        <v>12</v>
      </c>
      <c r="O19" s="414">
        <f>N19*M19</f>
        <v>0</v>
      </c>
      <c r="P19" s="909">
        <f>'Infos FoFö'!$C$68</f>
        <v>6.65</v>
      </c>
      <c r="Q19" s="908">
        <f>P19*S10</f>
        <v>0</v>
      </c>
      <c r="R19" s="867">
        <v>12</v>
      </c>
      <c r="S19" s="415">
        <f>R19*Q19</f>
        <v>0</v>
      </c>
      <c r="T19" s="107"/>
      <c r="U19" s="206"/>
      <c r="V19" s="330"/>
      <c r="W19" s="330"/>
      <c r="X19" s="330"/>
      <c r="Y19" s="330"/>
      <c r="Z19" s="330"/>
      <c r="AA19" s="330"/>
      <c r="AB19" s="330"/>
    </row>
    <row r="20" spans="2:28" x14ac:dyDescent="0.35">
      <c r="B20" s="914"/>
      <c r="C20" s="107" t="s">
        <v>690</v>
      </c>
      <c r="D20" s="878">
        <f>'Infos FoFö'!$C$67</f>
        <v>6.4500000000000002E-2</v>
      </c>
      <c r="E20" s="868">
        <f>D20*G17</f>
        <v>306.28082999999998</v>
      </c>
      <c r="F20" s="917">
        <v>12</v>
      </c>
      <c r="G20" s="414">
        <f>F20*E20</f>
        <v>3675.36996</v>
      </c>
      <c r="H20" s="878">
        <f>'Infos FoFö'!$C$67</f>
        <v>6.4500000000000002E-2</v>
      </c>
      <c r="I20" s="868">
        <f>H20*K17</f>
        <v>0</v>
      </c>
      <c r="J20" s="917">
        <v>12</v>
      </c>
      <c r="K20" s="415">
        <f>J20*I20</f>
        <v>0</v>
      </c>
      <c r="L20" s="910">
        <f>'Infos FoFö'!$C$67</f>
        <v>6.4500000000000002E-2</v>
      </c>
      <c r="M20" s="911">
        <f>L20*O17</f>
        <v>0</v>
      </c>
      <c r="N20" s="917">
        <v>12</v>
      </c>
      <c r="O20" s="414">
        <f>N20*M20</f>
        <v>0</v>
      </c>
      <c r="P20" s="910">
        <f>'Infos FoFö'!$C$67</f>
        <v>6.4500000000000002E-2</v>
      </c>
      <c r="Q20" s="911">
        <f>P20*S17</f>
        <v>0</v>
      </c>
      <c r="R20" s="917">
        <v>12</v>
      </c>
      <c r="S20" s="415">
        <f>R20*Q20</f>
        <v>0</v>
      </c>
      <c r="T20" s="107"/>
      <c r="U20" s="206"/>
      <c r="V20" s="330"/>
      <c r="W20" s="330"/>
      <c r="X20" s="330"/>
      <c r="Y20" s="330"/>
      <c r="Z20" s="330"/>
      <c r="AA20" s="330"/>
      <c r="AB20" s="330"/>
    </row>
    <row r="21" spans="2:28" x14ac:dyDescent="0.35">
      <c r="B21" s="914"/>
      <c r="C21" s="107" t="s">
        <v>691</v>
      </c>
      <c r="D21" s="74"/>
      <c r="E21" s="4"/>
      <c r="F21" s="4"/>
      <c r="G21" s="886">
        <f>G18+G19+G20</f>
        <v>5901.5100400000001</v>
      </c>
      <c r="H21" s="74"/>
      <c r="I21" s="4"/>
      <c r="J21" s="4"/>
      <c r="K21" s="879">
        <f>K18+K19+K20</f>
        <v>0</v>
      </c>
      <c r="L21" s="74"/>
      <c r="M21" s="4"/>
      <c r="N21" s="4"/>
      <c r="O21" s="886">
        <f>O18+O19+O20</f>
        <v>0</v>
      </c>
      <c r="P21" s="74"/>
      <c r="Q21" s="4"/>
      <c r="R21" s="4"/>
      <c r="S21" s="879">
        <f>S18+S19+S20</f>
        <v>0</v>
      </c>
      <c r="T21" s="107"/>
      <c r="U21" s="206"/>
      <c r="V21" s="330"/>
      <c r="W21" s="330"/>
      <c r="X21" s="330"/>
      <c r="Y21" s="330"/>
      <c r="Z21" s="330"/>
      <c r="AA21" s="330"/>
      <c r="AB21" s="330"/>
    </row>
    <row r="22" spans="2:28" x14ac:dyDescent="0.35">
      <c r="B22" s="914"/>
      <c r="C22" s="107" t="s">
        <v>694</v>
      </c>
      <c r="D22" s="74"/>
      <c r="E22" s="4"/>
      <c r="F22" s="4"/>
      <c r="G22" s="887">
        <f>G17*12+G21</f>
        <v>62883.990039999997</v>
      </c>
      <c r="H22" s="74"/>
      <c r="I22" s="4"/>
      <c r="J22" s="4"/>
      <c r="K22" s="880">
        <f>K17*12+K21</f>
        <v>0</v>
      </c>
      <c r="L22" s="74"/>
      <c r="M22" s="4"/>
      <c r="N22" s="4"/>
      <c r="O22" s="887">
        <f>O17*12+O21</f>
        <v>0</v>
      </c>
      <c r="P22" s="74"/>
      <c r="Q22" s="4"/>
      <c r="R22" s="4"/>
      <c r="S22" s="880">
        <f>S17*12+S21</f>
        <v>0</v>
      </c>
      <c r="T22" s="552">
        <f>T17*12+T21</f>
        <v>0</v>
      </c>
      <c r="U22" s="206"/>
      <c r="V22" s="330"/>
      <c r="W22" s="330"/>
      <c r="X22" s="330"/>
      <c r="Y22" s="330"/>
      <c r="Z22" s="330"/>
      <c r="AA22" s="330"/>
      <c r="AB22" s="330"/>
    </row>
    <row r="23" spans="2:28" x14ac:dyDescent="0.35">
      <c r="B23" s="914"/>
      <c r="C23" s="107" t="s">
        <v>695</v>
      </c>
      <c r="D23" s="74"/>
      <c r="E23" s="4"/>
      <c r="F23" s="4"/>
      <c r="G23" s="479">
        <f>G16*52</f>
        <v>2071.16</v>
      </c>
      <c r="H23" s="74"/>
      <c r="I23" s="4"/>
      <c r="J23" s="4"/>
      <c r="K23" s="477">
        <f>K16*52</f>
        <v>0</v>
      </c>
      <c r="L23" s="74"/>
      <c r="M23" s="4"/>
      <c r="N23" s="4"/>
      <c r="O23" s="479">
        <f>O16*52</f>
        <v>0</v>
      </c>
      <c r="P23" s="74"/>
      <c r="Q23" s="4"/>
      <c r="R23" s="4"/>
      <c r="S23" s="477">
        <f>S16*52</f>
        <v>0</v>
      </c>
      <c r="T23" s="892">
        <f>T16*52</f>
        <v>0</v>
      </c>
      <c r="U23" s="206"/>
      <c r="V23" s="330"/>
      <c r="W23" s="330"/>
      <c r="X23" s="330"/>
      <c r="Y23" s="330"/>
      <c r="Z23" s="330"/>
      <c r="AA23" s="330"/>
      <c r="AB23" s="330"/>
    </row>
    <row r="24" spans="2:28" x14ac:dyDescent="0.35">
      <c r="B24" s="914"/>
      <c r="C24" s="107" t="s">
        <v>696</v>
      </c>
      <c r="D24" s="74"/>
      <c r="E24" s="4"/>
      <c r="F24" s="4"/>
      <c r="G24" s="887">
        <f>G22/G23</f>
        <v>30.361724849842602</v>
      </c>
      <c r="H24" s="74"/>
      <c r="I24" s="4"/>
      <c r="J24" s="4"/>
      <c r="K24" s="880" t="e">
        <f>K22/K23</f>
        <v>#DIV/0!</v>
      </c>
      <c r="L24" s="74"/>
      <c r="M24" s="4"/>
      <c r="N24" s="4"/>
      <c r="O24" s="887" t="e">
        <f>O22/O23</f>
        <v>#DIV/0!</v>
      </c>
      <c r="P24" s="74"/>
      <c r="Q24" s="4"/>
      <c r="R24" s="4"/>
      <c r="S24" s="880" t="e">
        <f>S22/S23</f>
        <v>#DIV/0!</v>
      </c>
      <c r="T24" s="552" t="e">
        <f>T22/T23</f>
        <v>#DIV/0!</v>
      </c>
      <c r="U24" s="206"/>
      <c r="V24" s="330"/>
      <c r="W24" s="330"/>
      <c r="X24" s="330"/>
      <c r="Y24" s="330"/>
      <c r="Z24" s="330"/>
      <c r="AA24" s="330"/>
      <c r="AB24" s="330"/>
    </row>
    <row r="25" spans="2:28" ht="15" thickBot="1" x14ac:dyDescent="0.4">
      <c r="B25" s="914"/>
      <c r="C25" s="107" t="s">
        <v>697</v>
      </c>
      <c r="D25" s="74"/>
      <c r="E25" s="4"/>
      <c r="F25" s="4"/>
      <c r="G25" s="885">
        <f>ROUND(G23*G24/(12*G10),0)</f>
        <v>5240</v>
      </c>
      <c r="H25" s="74"/>
      <c r="I25" s="4"/>
      <c r="J25" s="4"/>
      <c r="K25" s="875" t="e">
        <f>ROUND(K23*K24/(12*K10),0)</f>
        <v>#DIV/0!</v>
      </c>
      <c r="L25" s="74"/>
      <c r="M25" s="4"/>
      <c r="N25" s="4"/>
      <c r="O25" s="885" t="e">
        <f>ROUND(O23*O24/(12*O10),0)</f>
        <v>#DIV/0!</v>
      </c>
      <c r="P25" s="74"/>
      <c r="Q25" s="4"/>
      <c r="R25" s="4"/>
      <c r="S25" s="875" t="e">
        <f>ROUND(S23*S24/(12*S10),0)</f>
        <v>#DIV/0!</v>
      </c>
      <c r="T25" s="893" t="e">
        <f>ROUND(T23*T24/(12*T10),0)</f>
        <v>#DIV/0!</v>
      </c>
      <c r="U25" s="206"/>
      <c r="V25" s="330"/>
      <c r="W25" s="330"/>
      <c r="X25" s="330"/>
      <c r="Y25" s="330"/>
      <c r="Z25" s="330"/>
      <c r="AA25" s="330"/>
      <c r="AB25" s="330"/>
    </row>
    <row r="26" spans="2:28" ht="15" thickBot="1" x14ac:dyDescent="0.4">
      <c r="B26" s="914"/>
      <c r="C26" s="38" t="s">
        <v>700</v>
      </c>
      <c r="D26" s="249"/>
      <c r="E26" s="41"/>
      <c r="F26" s="41"/>
      <c r="G26" s="895">
        <f>IF(G10=0,0,ROUND(G25*G12,0))</f>
        <v>110040</v>
      </c>
      <c r="H26" s="249"/>
      <c r="I26" s="41"/>
      <c r="J26" s="41"/>
      <c r="K26" s="895">
        <f>IF(K10=0,0,ROUND(K25*K12,0))</f>
        <v>0</v>
      </c>
      <c r="L26" s="249"/>
      <c r="M26" s="41"/>
      <c r="N26" s="41"/>
      <c r="O26" s="895">
        <f>IF(O10=0,0,ROUND(O25*O12,0))</f>
        <v>0</v>
      </c>
      <c r="P26" s="249"/>
      <c r="Q26" s="41"/>
      <c r="R26" s="41"/>
      <c r="S26" s="901">
        <f>IF(S10=0,0,ROUND(S25*S12,0))</f>
        <v>0</v>
      </c>
      <c r="T26" s="896">
        <f>IF(T10=0,0,ROUND(T25*T12,0))</f>
        <v>0</v>
      </c>
      <c r="U26" s="206"/>
      <c r="V26" s="330"/>
      <c r="W26" s="330"/>
      <c r="X26" s="330"/>
      <c r="Y26" s="330"/>
      <c r="Z26" s="330"/>
      <c r="AA26" s="330"/>
      <c r="AB26" s="330"/>
    </row>
    <row r="27" spans="2:28" ht="15" thickBot="1" x14ac:dyDescent="0.4">
      <c r="B27" s="91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06"/>
      <c r="V27" s="330"/>
      <c r="W27" s="330"/>
      <c r="X27" s="330"/>
      <c r="Y27" s="330"/>
      <c r="Z27" s="330"/>
      <c r="AA27" s="330"/>
      <c r="AB27" s="330"/>
    </row>
    <row r="28" spans="2:28" x14ac:dyDescent="0.35">
      <c r="B28" s="914"/>
      <c r="C28" s="169" t="s">
        <v>701</v>
      </c>
      <c r="D28" s="51"/>
      <c r="E28" s="51"/>
      <c r="F28" s="51"/>
      <c r="G28" s="897">
        <f>SUM(D26:T26)</f>
        <v>110040</v>
      </c>
      <c r="H28" s="4"/>
      <c r="I28" s="4" t="s">
        <v>706</v>
      </c>
      <c r="J28" s="4"/>
      <c r="K28" s="414">
        <f>((K31-G30)/185)*100</f>
        <v>118918.91891891892</v>
      </c>
      <c r="L28" s="4"/>
      <c r="M28" s="4"/>
      <c r="N28" s="4"/>
      <c r="O28" s="4"/>
      <c r="P28" s="4"/>
      <c r="Q28" s="4"/>
      <c r="R28" s="4"/>
      <c r="S28" s="4"/>
      <c r="T28" s="4"/>
      <c r="U28" s="206"/>
      <c r="V28" s="330"/>
      <c r="W28" s="330"/>
      <c r="X28" s="330"/>
      <c r="Y28" s="330"/>
      <c r="Z28" s="330"/>
      <c r="AA28" s="330"/>
      <c r="AB28" s="330"/>
    </row>
    <row r="29" spans="2:28" x14ac:dyDescent="0.35">
      <c r="B29" s="914"/>
      <c r="C29" s="364" t="s">
        <v>702</v>
      </c>
      <c r="D29" s="898">
        <v>0.85</v>
      </c>
      <c r="E29" s="900">
        <v>0.85</v>
      </c>
      <c r="F29" s="4"/>
      <c r="G29" s="879">
        <f>E29*G28</f>
        <v>93534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06"/>
      <c r="V29" s="330"/>
      <c r="W29" s="330"/>
      <c r="X29" s="330"/>
      <c r="Y29" s="330"/>
      <c r="Z29" s="330"/>
      <c r="AA29" s="330"/>
      <c r="AB29" s="330"/>
    </row>
    <row r="30" spans="2:28" ht="15" thickBot="1" x14ac:dyDescent="0.4">
      <c r="B30" s="914"/>
      <c r="C30" s="364" t="s">
        <v>703</v>
      </c>
      <c r="D30" s="4"/>
      <c r="E30" s="4"/>
      <c r="F30" s="4"/>
      <c r="G30" s="916"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06"/>
      <c r="V30" s="330"/>
      <c r="W30" s="330"/>
      <c r="X30" s="330"/>
      <c r="Y30" s="330"/>
      <c r="Z30" s="330"/>
      <c r="AA30" s="330"/>
      <c r="AB30" s="330"/>
    </row>
    <row r="31" spans="2:28" ht="15" thickBot="1" x14ac:dyDescent="0.4">
      <c r="B31" s="914"/>
      <c r="C31" s="899" t="s">
        <v>194</v>
      </c>
      <c r="D31" s="41"/>
      <c r="E31" s="41"/>
      <c r="F31" s="41"/>
      <c r="G31" s="901">
        <f>G30+G29+G28</f>
        <v>203574</v>
      </c>
      <c r="H31" s="4"/>
      <c r="I31" s="4" t="s">
        <v>704</v>
      </c>
      <c r="J31" s="4"/>
      <c r="K31" s="72">
        <v>220000</v>
      </c>
      <c r="L31" s="4"/>
      <c r="M31" s="4"/>
      <c r="N31" s="4"/>
      <c r="O31" s="4"/>
      <c r="P31" s="4"/>
      <c r="Q31" s="4"/>
      <c r="R31" s="4"/>
      <c r="S31" s="4"/>
      <c r="T31" s="4"/>
      <c r="U31" s="206"/>
      <c r="V31" s="330"/>
      <c r="W31" s="330"/>
      <c r="X31" s="330"/>
      <c r="Y31" s="330"/>
      <c r="Z31" s="330"/>
      <c r="AA31" s="330"/>
      <c r="AB31" s="330"/>
    </row>
    <row r="32" spans="2:28" ht="15" thickBot="1" x14ac:dyDescent="0.4">
      <c r="B32" s="91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206"/>
      <c r="V32" s="330"/>
      <c r="W32" s="330"/>
      <c r="X32" s="330"/>
      <c r="Y32" s="330"/>
      <c r="Z32" s="330"/>
      <c r="AA32" s="330"/>
      <c r="AB32" s="330"/>
    </row>
    <row r="33" spans="1:28" ht="15" thickBot="1" x14ac:dyDescent="0.4">
      <c r="B33" s="914"/>
      <c r="C33" s="902" t="s">
        <v>705</v>
      </c>
      <c r="D33" s="41"/>
      <c r="E33" s="41"/>
      <c r="F33" s="41"/>
      <c r="G33" s="906">
        <f>SUM(D11:T11)</f>
        <v>48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206"/>
      <c r="V33" s="330"/>
      <c r="W33" s="330"/>
      <c r="X33" s="330"/>
      <c r="Y33" s="330"/>
      <c r="Z33" s="330"/>
      <c r="AA33" s="330"/>
      <c r="AB33" s="330"/>
    </row>
    <row r="34" spans="1:28" ht="15" thickBot="1" x14ac:dyDescent="0.4">
      <c r="B34" s="91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4"/>
      <c r="V34" s="330"/>
      <c r="W34" s="330"/>
      <c r="X34" s="330"/>
      <c r="Y34" s="330"/>
      <c r="Z34" s="330"/>
      <c r="AA34" s="330"/>
      <c r="AB34" s="330"/>
    </row>
    <row r="35" spans="1:28" ht="15" thickTop="1" x14ac:dyDescent="0.35">
      <c r="A35" s="33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</row>
    <row r="36" spans="1:28" x14ac:dyDescent="0.35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</row>
    <row r="37" spans="1:28" x14ac:dyDescent="0.35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</row>
    <row r="38" spans="1:28" x14ac:dyDescent="0.35">
      <c r="A38" s="330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</row>
    <row r="39" spans="1:28" x14ac:dyDescent="0.35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</row>
    <row r="40" spans="1:28" x14ac:dyDescent="0.35">
      <c r="A40" s="330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</row>
    <row r="41" spans="1:28" x14ac:dyDescent="0.35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</row>
    <row r="42" spans="1:28" x14ac:dyDescent="0.35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</row>
    <row r="43" spans="1:28" x14ac:dyDescent="0.35">
      <c r="A43" s="330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</row>
    <row r="44" spans="1:28" x14ac:dyDescent="0.35">
      <c r="A44" s="33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</row>
    <row r="45" spans="1:28" x14ac:dyDescent="0.35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</row>
    <row r="46" spans="1:28" x14ac:dyDescent="0.35">
      <c r="A46" s="330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</row>
    <row r="47" spans="1:28" x14ac:dyDescent="0.35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</row>
    <row r="48" spans="1:28" x14ac:dyDescent="0.35">
      <c r="A48" s="33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</row>
    <row r="49" spans="1:28" x14ac:dyDescent="0.35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</row>
    <row r="50" spans="1:28" x14ac:dyDescent="0.35">
      <c r="A50" s="330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</row>
    <row r="51" spans="1:28" x14ac:dyDescent="0.35">
      <c r="A51" s="330"/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</row>
    <row r="52" spans="1:28" x14ac:dyDescent="0.35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</row>
    <row r="53" spans="1:28" x14ac:dyDescent="0.35">
      <c r="A53" s="330"/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</row>
    <row r="54" spans="1:28" x14ac:dyDescent="0.35">
      <c r="A54" s="33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</row>
    <row r="55" spans="1:28" x14ac:dyDescent="0.35">
      <c r="A55" s="330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</row>
    <row r="56" spans="1:28" x14ac:dyDescent="0.35">
      <c r="A56" s="330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</row>
    <row r="57" spans="1:28" x14ac:dyDescent="0.35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</row>
    <row r="58" spans="1:28" x14ac:dyDescent="0.35">
      <c r="A58" s="33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</row>
    <row r="59" spans="1:28" x14ac:dyDescent="0.3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</row>
    <row r="60" spans="1:28" x14ac:dyDescent="0.35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</row>
    <row r="61" spans="1:28" x14ac:dyDescent="0.35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</row>
    <row r="62" spans="1:28" x14ac:dyDescent="0.35">
      <c r="A62" s="33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</row>
    <row r="63" spans="1:28" x14ac:dyDescent="0.35">
      <c r="A63" s="330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</row>
    <row r="64" spans="1:28" x14ac:dyDescent="0.35">
      <c r="A64" s="330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</row>
    <row r="65" spans="1:28" x14ac:dyDescent="0.35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</row>
    <row r="66" spans="1:28" x14ac:dyDescent="0.35">
      <c r="A66" s="330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</row>
    <row r="67" spans="1:28" x14ac:dyDescent="0.35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</row>
    <row r="68" spans="1:28" x14ac:dyDescent="0.35">
      <c r="A68" s="330"/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</row>
    <row r="69" spans="1:28" x14ac:dyDescent="0.35">
      <c r="A69" s="330"/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</row>
    <row r="70" spans="1:28" x14ac:dyDescent="0.35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</row>
    <row r="71" spans="1:28" x14ac:dyDescent="0.35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</row>
    <row r="72" spans="1:28" x14ac:dyDescent="0.35">
      <c r="A72" s="330"/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</row>
    <row r="73" spans="1:28" x14ac:dyDescent="0.35">
      <c r="A73" s="330"/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</row>
    <row r="74" spans="1:28" x14ac:dyDescent="0.35">
      <c r="A74" s="330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</row>
    <row r="75" spans="1:28" x14ac:dyDescent="0.35">
      <c r="A75" s="330"/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</row>
    <row r="76" spans="1:28" x14ac:dyDescent="0.35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</row>
    <row r="77" spans="1:28" x14ac:dyDescent="0.35">
      <c r="A77" s="330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</row>
    <row r="78" spans="1:28" x14ac:dyDescent="0.35">
      <c r="A78" s="330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</row>
    <row r="79" spans="1:28" x14ac:dyDescent="0.35">
      <c r="A79" s="330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</row>
    <row r="80" spans="1:28" x14ac:dyDescent="0.35">
      <c r="A80" s="330"/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</row>
    <row r="81" spans="1:28" x14ac:dyDescent="0.35">
      <c r="A81" s="330"/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</row>
    <row r="82" spans="1:28" x14ac:dyDescent="0.35">
      <c r="A82" s="330"/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</row>
    <row r="83" spans="1:28" x14ac:dyDescent="0.35">
      <c r="A83" s="330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</row>
    <row r="84" spans="1:28" x14ac:dyDescent="0.35">
      <c r="A84" s="330"/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</row>
    <row r="85" spans="1:28" x14ac:dyDescent="0.35">
      <c r="A85" s="330"/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</row>
    <row r="86" spans="1:28" x14ac:dyDescent="0.35">
      <c r="A86" s="330"/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</row>
    <row r="87" spans="1:28" x14ac:dyDescent="0.35">
      <c r="A87" s="330"/>
      <c r="B87" s="330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</row>
    <row r="88" spans="1:28" x14ac:dyDescent="0.35">
      <c r="A88" s="330"/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</row>
    <row r="89" spans="1:28" x14ac:dyDescent="0.35">
      <c r="A89" s="330"/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</row>
    <row r="90" spans="1:28" x14ac:dyDescent="0.35">
      <c r="A90" s="330"/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</row>
    <row r="91" spans="1:28" x14ac:dyDescent="0.35">
      <c r="A91" s="330"/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</row>
    <row r="92" spans="1:28" x14ac:dyDescent="0.35">
      <c r="A92" s="330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</row>
    <row r="93" spans="1:28" x14ac:dyDescent="0.35">
      <c r="A93" s="330"/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</row>
    <row r="94" spans="1:28" x14ac:dyDescent="0.35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</row>
    <row r="95" spans="1:28" x14ac:dyDescent="0.35">
      <c r="A95" s="330"/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</row>
    <row r="96" spans="1:28" x14ac:dyDescent="0.35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</row>
    <row r="97" spans="1:28" x14ac:dyDescent="0.35">
      <c r="A97" s="330"/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</row>
    <row r="98" spans="1:28" x14ac:dyDescent="0.35">
      <c r="A98" s="330"/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</row>
    <row r="99" spans="1:28" x14ac:dyDescent="0.35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</row>
    <row r="100" spans="1:28" x14ac:dyDescent="0.35">
      <c r="A100" s="330"/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</row>
    <row r="101" spans="1:28" x14ac:dyDescent="0.35">
      <c r="A101" s="330"/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</row>
    <row r="102" spans="1:28" x14ac:dyDescent="0.35">
      <c r="A102" s="330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</row>
    <row r="103" spans="1:28" x14ac:dyDescent="0.35">
      <c r="A103" s="330"/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</row>
    <row r="104" spans="1:28" x14ac:dyDescent="0.35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</row>
    <row r="105" spans="1:28" x14ac:dyDescent="0.35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</row>
    <row r="106" spans="1:28" x14ac:dyDescent="0.35">
      <c r="A106" s="330"/>
      <c r="B106" s="330"/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</row>
    <row r="107" spans="1:28" x14ac:dyDescent="0.35">
      <c r="A107" s="330"/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</row>
    <row r="108" spans="1:28" x14ac:dyDescent="0.35">
      <c r="A108" s="330"/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</row>
    <row r="109" spans="1:28" x14ac:dyDescent="0.35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</row>
    <row r="110" spans="1:28" x14ac:dyDescent="0.35">
      <c r="A110" s="330"/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</row>
    <row r="111" spans="1:28" x14ac:dyDescent="0.35">
      <c r="A111" s="330"/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</row>
    <row r="112" spans="1:28" x14ac:dyDescent="0.35">
      <c r="A112" s="330"/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</row>
    <row r="113" spans="1:28" x14ac:dyDescent="0.35">
      <c r="A113" s="330"/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</row>
    <row r="114" spans="1:28" x14ac:dyDescent="0.35">
      <c r="A114" s="330"/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</row>
    <row r="115" spans="1:28" x14ac:dyDescent="0.35">
      <c r="A115" s="330"/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30"/>
    </row>
    <row r="116" spans="1:28" x14ac:dyDescent="0.35">
      <c r="A116" s="330"/>
      <c r="B116" s="330"/>
      <c r="C116" s="330"/>
      <c r="D116" s="330"/>
      <c r="E116" s="330"/>
      <c r="F116" s="330"/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</row>
    <row r="117" spans="1:28" x14ac:dyDescent="0.35">
      <c r="A117" s="330"/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</row>
    <row r="118" spans="1:28" x14ac:dyDescent="0.35">
      <c r="A118" s="330"/>
      <c r="B118" s="330"/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</row>
    <row r="119" spans="1:28" x14ac:dyDescent="0.35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</row>
    <row r="120" spans="1:28" x14ac:dyDescent="0.35">
      <c r="A120" s="330"/>
      <c r="B120" s="330"/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</row>
    <row r="121" spans="1:28" x14ac:dyDescent="0.35">
      <c r="A121" s="330"/>
      <c r="B121" s="330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</row>
    <row r="122" spans="1:28" x14ac:dyDescent="0.35">
      <c r="A122" s="330"/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</row>
    <row r="123" spans="1:28" x14ac:dyDescent="0.35">
      <c r="A123" s="330"/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</row>
    <row r="124" spans="1:28" x14ac:dyDescent="0.35">
      <c r="A124" s="330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</row>
    <row r="125" spans="1:28" x14ac:dyDescent="0.35">
      <c r="A125" s="330"/>
      <c r="B125" s="330"/>
      <c r="C125" s="330"/>
      <c r="D125" s="330"/>
      <c r="E125" s="330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30"/>
    </row>
    <row r="126" spans="1:28" x14ac:dyDescent="0.35">
      <c r="A126" s="330"/>
      <c r="B126" s="330"/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</row>
    <row r="127" spans="1:28" x14ac:dyDescent="0.35">
      <c r="A127" s="330"/>
      <c r="B127" s="330"/>
      <c r="C127" s="330"/>
      <c r="D127" s="330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</row>
    <row r="128" spans="1:28" x14ac:dyDescent="0.35">
      <c r="A128" s="330"/>
      <c r="B128" s="330"/>
      <c r="C128" s="330"/>
      <c r="D128" s="330"/>
      <c r="E128" s="330"/>
      <c r="F128" s="330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</row>
    <row r="129" spans="1:28" x14ac:dyDescent="0.35">
      <c r="A129" s="330"/>
      <c r="B129" s="330"/>
      <c r="C129" s="330"/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</row>
    <row r="130" spans="1:28" x14ac:dyDescent="0.35">
      <c r="A130" s="330"/>
      <c r="B130" s="330"/>
      <c r="C130" s="330"/>
      <c r="D130" s="330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</row>
    <row r="131" spans="1:28" x14ac:dyDescent="0.35">
      <c r="A131" s="330"/>
      <c r="B131" s="330"/>
      <c r="C131" s="330"/>
      <c r="D131" s="330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</row>
    <row r="132" spans="1:28" x14ac:dyDescent="0.35">
      <c r="A132" s="330"/>
      <c r="B132" s="330"/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</row>
    <row r="133" spans="1:28" x14ac:dyDescent="0.35">
      <c r="A133" s="330"/>
      <c r="B133" s="330"/>
      <c r="C133" s="330"/>
      <c r="D133" s="330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</row>
    <row r="134" spans="1:28" x14ac:dyDescent="0.35">
      <c r="A134" s="330"/>
      <c r="B134" s="330"/>
      <c r="C134" s="330"/>
      <c r="D134" s="330"/>
      <c r="E134" s="330"/>
      <c r="F134" s="330"/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30"/>
      <c r="X134" s="330"/>
      <c r="Y134" s="330"/>
      <c r="Z134" s="330"/>
      <c r="AA134" s="330"/>
      <c r="AB134" s="330"/>
    </row>
    <row r="135" spans="1:28" x14ac:dyDescent="0.35">
      <c r="A135" s="330"/>
      <c r="B135" s="330"/>
      <c r="C135" s="330"/>
      <c r="D135" s="330"/>
      <c r="E135" s="330"/>
      <c r="F135" s="330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</row>
  </sheetData>
  <sheetProtection sheet="1" objects="1" scenarios="1"/>
  <conditionalFormatting sqref="G31">
    <cfRule type="cellIs" dxfId="0" priority="1" operator="greaterThan">
      <formula>$K$31</formula>
    </cfRule>
  </conditionalFormatting>
  <dataValidations count="3">
    <dataValidation type="decimal" allowBlank="1" showInputMessage="1" showErrorMessage="1" sqref="G16 K16 O16 S16">
      <formula1>0</formula1>
      <formula2>39.83</formula2>
    </dataValidation>
    <dataValidation type="decimal" allowBlank="1" showInputMessage="1" showErrorMessage="1" sqref="G10 K10 O10 S10">
      <formula1>0</formula1>
      <formula2>1</formula2>
    </dataValidation>
    <dataValidation type="whole" allowBlank="1" showInputMessage="1" showErrorMessage="1" sqref="G11 K11 S11:T11 O11">
      <formula1>0</formula1>
      <formula2>48</formula2>
    </dataValidation>
  </dataValidations>
  <pageMargins left="0.7" right="0.7" top="0.78740157499999996" bottom="0.78740157499999996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'Infos FoFö'!$C$99:$C$117</xm:f>
          </x14:formula1>
          <xm:sqref>G7 K7 O7 S7</xm:sqref>
        </x14:dataValidation>
        <x14:dataValidation type="list" showInputMessage="1" showErrorMessage="1">
          <x14:formula1>
            <xm:f>'Infos FoFö'!$D$99:$D$104</xm:f>
          </x14:formula1>
          <xm:sqref>G8 K8 O8 S8</xm:sqref>
        </x14:dataValidation>
        <x14:dataValidation type="list" allowBlank="1" showInputMessage="1" showErrorMessage="1">
          <x14:formula1>
            <xm:f>'Infos FoFö'!$E$99:$E$105</xm:f>
          </x14:formula1>
          <xm:sqref>G9 K9 O9 S9</xm:sqref>
        </x14:dataValidation>
        <x14:dataValidation type="list" allowBlank="1" showInputMessage="1" showErrorMessage="1">
          <x14:formula1>
            <xm:f>'Infos FoFö'!$I$99:$I$100</xm:f>
          </x14:formula1>
          <xm:sqref>T7</xm:sqref>
        </x14:dataValidation>
        <x14:dataValidation type="list" allowBlank="1" showInputMessage="1" showErrorMessage="1">
          <x14:formula1>
            <xm:f>'Infos FoFö'!$B$143:$B$144</xm:f>
          </x14:formula1>
          <xm:sqref>F20 J20 N20 R20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workbookViewId="0">
      <selection activeCell="F9" sqref="F9"/>
    </sheetView>
  </sheetViews>
  <sheetFormatPr baseColWidth="10" defaultColWidth="11.54296875" defaultRowHeight="14.5" x14ac:dyDescent="0.35"/>
  <cols>
    <col min="1" max="1" width="4.26953125" style="447" customWidth="1"/>
    <col min="2" max="2" width="3" style="447" customWidth="1"/>
    <col min="3" max="3" width="42.54296875" style="447" customWidth="1"/>
    <col min="4" max="4" width="13.81640625" style="447" customWidth="1"/>
    <col min="5" max="5" width="12.54296875" style="447" customWidth="1"/>
    <col min="6" max="6" width="15.26953125" style="447" customWidth="1"/>
    <col min="7" max="7" width="14.54296875" style="447" customWidth="1"/>
    <col min="8" max="8" width="16" style="447" customWidth="1"/>
    <col min="9" max="9" width="3.1796875" style="447" customWidth="1"/>
    <col min="10" max="11" width="11.54296875" style="447"/>
    <col min="12" max="12" width="8.81640625" style="447" customWidth="1"/>
    <col min="13" max="14" width="11.54296875" style="447"/>
    <col min="15" max="15" width="8.26953125" style="447" customWidth="1"/>
    <col min="16" max="16384" width="11.54296875" style="447"/>
  </cols>
  <sheetData>
    <row r="1" spans="2:17" ht="15" thickBot="1" x14ac:dyDescent="0.4"/>
    <row r="2" spans="2:17" ht="9" customHeight="1" thickTop="1" thickBot="1" x14ac:dyDescent="0.4">
      <c r="B2" s="569"/>
      <c r="C2" s="232"/>
      <c r="D2" s="232"/>
      <c r="E2" s="232"/>
      <c r="F2" s="232"/>
      <c r="G2" s="232"/>
      <c r="H2" s="232"/>
      <c r="I2" s="570"/>
      <c r="K2" s="3"/>
      <c r="L2" s="3"/>
      <c r="M2" s="3"/>
    </row>
    <row r="3" spans="2:17" ht="15" thickBot="1" x14ac:dyDescent="0.4">
      <c r="B3" s="571"/>
      <c r="C3" s="1012" t="s">
        <v>559</v>
      </c>
      <c r="D3" s="1013"/>
      <c r="E3" s="542" t="s">
        <v>560</v>
      </c>
      <c r="F3" s="537" t="s">
        <v>561</v>
      </c>
      <c r="G3" s="537" t="s">
        <v>562</v>
      </c>
      <c r="H3" s="537" t="s">
        <v>580</v>
      </c>
      <c r="I3" s="572"/>
      <c r="K3" s="598" t="s">
        <v>203</v>
      </c>
      <c r="L3" s="292" t="s">
        <v>202</v>
      </c>
      <c r="M3" s="334" t="s">
        <v>213</v>
      </c>
      <c r="N3" s="334"/>
      <c r="O3" s="334"/>
      <c r="P3" s="938" t="s">
        <v>288</v>
      </c>
      <c r="Q3" s="938"/>
    </row>
    <row r="4" spans="2:17" x14ac:dyDescent="0.35">
      <c r="B4" s="571"/>
      <c r="C4" s="538" t="s">
        <v>578</v>
      </c>
      <c r="D4" s="450"/>
      <c r="E4" s="543" t="s">
        <v>581</v>
      </c>
      <c r="F4" s="560">
        <f>EDATE(E5,1)</f>
        <v>44896</v>
      </c>
      <c r="G4" s="557">
        <f>EDATE(F5,1)</f>
        <v>45658</v>
      </c>
      <c r="H4" s="557">
        <f>EDATE(G5,1)</f>
        <v>46447</v>
      </c>
      <c r="I4" s="572"/>
      <c r="K4" s="293" t="s">
        <v>224</v>
      </c>
      <c r="L4" s="294"/>
      <c r="M4" s="294"/>
      <c r="N4" s="294"/>
      <c r="O4" s="294"/>
      <c r="P4" s="433"/>
      <c r="Q4" s="4"/>
    </row>
    <row r="5" spans="2:17" ht="15" thickBot="1" x14ac:dyDescent="0.4">
      <c r="B5" s="571"/>
      <c r="C5" s="540" t="s">
        <v>579</v>
      </c>
      <c r="D5" s="445"/>
      <c r="E5" s="597">
        <v>44866</v>
      </c>
      <c r="F5" s="593">
        <v>45627</v>
      </c>
      <c r="G5" s="594">
        <v>46419</v>
      </c>
      <c r="H5" s="594">
        <v>11171</v>
      </c>
      <c r="I5" s="572"/>
      <c r="J5" s="333"/>
      <c r="K5" s="575"/>
      <c r="L5" s="576"/>
      <c r="M5" s="577"/>
      <c r="N5" s="333"/>
      <c r="O5" s="333"/>
      <c r="P5" s="333"/>
      <c r="Q5" s="333"/>
    </row>
    <row r="6" spans="2:17" x14ac:dyDescent="0.35">
      <c r="B6" s="571"/>
      <c r="C6" s="539" t="s">
        <v>589</v>
      </c>
      <c r="D6" s="3">
        <v>39.83</v>
      </c>
      <c r="E6" s="556">
        <f>ROUND(E15/E14*D6,2)</f>
        <v>8.84</v>
      </c>
      <c r="F6" s="595">
        <v>0</v>
      </c>
      <c r="G6" s="596">
        <v>0</v>
      </c>
      <c r="H6" s="596">
        <v>0</v>
      </c>
      <c r="I6" s="572"/>
      <c r="J6" s="333"/>
      <c r="K6" s="333"/>
      <c r="L6" s="333"/>
      <c r="M6" s="333"/>
      <c r="N6" s="333"/>
      <c r="O6" s="333"/>
      <c r="P6" s="333"/>
      <c r="Q6" s="333"/>
    </row>
    <row r="7" spans="2:17" ht="15" thickBot="1" x14ac:dyDescent="0.4">
      <c r="B7" s="571"/>
      <c r="C7" s="539" t="s">
        <v>592</v>
      </c>
      <c r="D7" s="3"/>
      <c r="E7" s="558">
        <f>ROUND(E6/D6,4)</f>
        <v>0.22189999999999999</v>
      </c>
      <c r="F7" s="561">
        <f t="shared" ref="F7:H7" si="0">F6/$D$6</f>
        <v>0</v>
      </c>
      <c r="G7" s="548">
        <f t="shared" si="0"/>
        <v>0</v>
      </c>
      <c r="H7" s="548">
        <f t="shared" si="0"/>
        <v>0</v>
      </c>
      <c r="I7" s="572"/>
      <c r="J7" s="333"/>
      <c r="K7" s="333"/>
      <c r="L7" s="333"/>
      <c r="M7" s="333"/>
      <c r="N7" s="333"/>
      <c r="O7" s="333"/>
      <c r="P7" s="333"/>
      <c r="Q7" s="333"/>
    </row>
    <row r="8" spans="2:17" x14ac:dyDescent="0.35">
      <c r="B8" s="571"/>
      <c r="C8" s="538" t="s">
        <v>563</v>
      </c>
      <c r="D8" s="450"/>
      <c r="E8" s="584" t="s">
        <v>76</v>
      </c>
      <c r="F8" s="585" t="s">
        <v>76</v>
      </c>
      <c r="G8" s="586" t="s">
        <v>76</v>
      </c>
      <c r="H8" s="586" t="s">
        <v>76</v>
      </c>
      <c r="I8" s="572"/>
      <c r="J8" s="333"/>
      <c r="K8" s="333"/>
      <c r="L8" s="333"/>
      <c r="M8" s="333"/>
      <c r="N8" s="333"/>
      <c r="O8" s="333"/>
      <c r="P8" s="333"/>
      <c r="Q8" s="333"/>
    </row>
    <row r="9" spans="2:17" x14ac:dyDescent="0.35">
      <c r="B9" s="571"/>
      <c r="C9" s="539" t="s">
        <v>1</v>
      </c>
      <c r="D9" s="3"/>
      <c r="E9" s="587">
        <v>2</v>
      </c>
      <c r="F9" s="588">
        <v>5</v>
      </c>
      <c r="G9" s="589">
        <v>2</v>
      </c>
      <c r="H9" s="589">
        <v>2</v>
      </c>
      <c r="I9" s="572"/>
      <c r="J9" s="333"/>
      <c r="K9" s="333"/>
      <c r="L9" s="333"/>
      <c r="M9" s="333"/>
      <c r="N9" s="333"/>
      <c r="O9" s="333"/>
      <c r="P9" s="333"/>
      <c r="Q9" s="333"/>
    </row>
    <row r="10" spans="2:17" ht="15" thickBot="1" x14ac:dyDescent="0.4">
      <c r="B10" s="571"/>
      <c r="C10" s="540" t="s">
        <v>594</v>
      </c>
      <c r="D10" s="445"/>
      <c r="E10" s="590" t="s">
        <v>92</v>
      </c>
      <c r="F10" s="591" t="s">
        <v>92</v>
      </c>
      <c r="G10" s="592" t="s">
        <v>92</v>
      </c>
      <c r="H10" s="592" t="s">
        <v>92</v>
      </c>
      <c r="I10" s="572"/>
      <c r="J10" s="578"/>
      <c r="K10" s="333"/>
      <c r="L10" s="333"/>
      <c r="M10" s="333"/>
      <c r="N10" s="333"/>
      <c r="O10" s="333"/>
      <c r="P10" s="333"/>
      <c r="Q10" s="333"/>
    </row>
    <row r="11" spans="2:17" x14ac:dyDescent="0.35">
      <c r="B11" s="571"/>
      <c r="C11" s="555" t="s">
        <v>149</v>
      </c>
      <c r="D11" s="3"/>
      <c r="E11" s="559">
        <f>IF(E8='Infos FoFö'!$C$99,1,IF(E8='Infos FoFö'!$C$100,2,IF(E8='Infos FoFö'!$C$101,3,IF(E8='Infos FoFö'!$C$102,4,IF(E8='Infos FoFö'!$C$103,5,IF(E8='Infos FoFö'!$C$104,6,IF(E8='Infos FoFö'!$C$105,7,IF(E8='Infos FoFö'!$C$106,8,IF(E8='Infos FoFö'!$C$107,9,IF(E8='Infos FoFö'!$C$108,10,IF(E8='Infos FoFö'!$C$109,11,IF(E8='Infos FoFö'!$C$110,12,IF(E8='Infos FoFö'!$C$111,13,IF(E8='Infos FoFö'!$C$112,14,IF(E8='Infos FoFö'!$C$113,15,IF(E8='Infos FoFö'!$C$114,16,IF(E8='Infos FoFö'!$C$115,17,IF(E8='Infos FoFö'!$C$116,18,IF(E8='Infos FoFö'!$C$117,19,"Fehler")))))))))))))))))))</f>
        <v>5</v>
      </c>
      <c r="F11" s="559">
        <f>IF(F8='Infos FoFö'!$C$99,1,IF(F8='Infos FoFö'!$C$100,2,IF(F8='Infos FoFö'!$C$101,3,IF(F8='Infos FoFö'!$C$102,4,IF(F8='Infos FoFö'!$C$103,5,IF(F8='Infos FoFö'!$C$104,6,IF(F8='Infos FoFö'!$C$105,7,IF(F8='Infos FoFö'!$C$106,8,IF(F8='Infos FoFö'!$C$107,9,IF(F8='Infos FoFö'!$C$108,10,IF(F8='Infos FoFö'!$C$109,11,IF(F8='Infos FoFö'!$C$110,12,IF(F8='Infos FoFö'!$C$111,13,IF(F8='Infos FoFö'!$C$112,14,IF(F8='Infos FoFö'!$C$113,15,IF(F8='Infos FoFö'!$C$114,16,IF(F8='Infos FoFö'!$C$115,17,IF(F8='Infos FoFö'!$C$116,18,IF(F8='Infos FoFö'!$C$117,19,"Fehler")))))))))))))))))))</f>
        <v>5</v>
      </c>
      <c r="G11" s="607">
        <f>IF(G8='Infos FoFö'!$C$99,1,IF(G8='Infos FoFö'!$C$100,2,IF(G8='Infos FoFö'!$C$101,3,IF(G8='Infos FoFö'!$C$102,4,IF(G8='Infos FoFö'!$C$103,5,IF(G8='Infos FoFö'!$C$104,6,IF(G8='Infos FoFö'!$C$105,7,IF(G8='Infos FoFö'!$C$106,8,IF(G8='Infos FoFö'!$C$107,9,IF(G8='Infos FoFö'!$C$108,10,IF(G8='Infos FoFö'!$C$109,11,IF(G8='Infos FoFö'!$C$110,12,IF(G8='Infos FoFö'!$C$111,13,IF(G8='Infos FoFö'!$C$112,14,IF(G8='Infos FoFö'!$C$113,15,IF(G8='Infos FoFö'!$C$114,16,IF(G8='Infos FoFö'!$C$115,17,IF(G8='Infos FoFö'!$C$116,18,IF(G8='Infos FoFö'!$C$117,19,"Fehler")))))))))))))))))))</f>
        <v>5</v>
      </c>
      <c r="H11" s="608">
        <f>IF(H8='Infos FoFö'!$C$99,1,IF(H8='Infos FoFö'!$C$100,2,IF(H8='Infos FoFö'!$C$101,3,IF(H8='Infos FoFö'!$C$102,4,IF(H8='Infos FoFö'!$C$103,5,IF(H8='Infos FoFö'!$C$104,6,IF(H8='Infos FoFö'!$C$105,7,IF(H8='Infos FoFö'!$C$106,8,IF(H8='Infos FoFö'!$C$107,9,IF(H8='Infos FoFö'!$C$108,10,IF(H8='Infos FoFö'!$C$109,11,IF(H8='Infos FoFö'!$C$110,12,IF(H8='Infos FoFö'!$C$111,13,IF(H8='Infos FoFö'!$C$112,14,IF(H8='Infos FoFö'!$C$113,15,IF(H8='Infos FoFö'!$C$114,16,IF(H8='Infos FoFö'!$C$115,17,IF(H8='Infos FoFö'!$C$116,18,IF(H8='Infos FoFö'!$C$117,19,"Fehler")))))))))))))))))))</f>
        <v>5</v>
      </c>
      <c r="I11" s="572"/>
      <c r="J11" s="578"/>
      <c r="K11" s="333"/>
      <c r="L11" s="333"/>
      <c r="M11" s="333"/>
      <c r="N11" s="333"/>
      <c r="O11" s="333"/>
      <c r="P11" s="333"/>
      <c r="Q11" s="333"/>
    </row>
    <row r="12" spans="2:17" x14ac:dyDescent="0.35">
      <c r="B12" s="571"/>
      <c r="C12" s="555" t="s">
        <v>159</v>
      </c>
      <c r="D12" s="3"/>
      <c r="E12" s="559">
        <f>2+(E11-1)*6+(6-E9)</f>
        <v>30</v>
      </c>
      <c r="F12" s="559">
        <f t="shared" ref="F12:H12" si="1">2+(F11-1)*6+(6-F9)</f>
        <v>27</v>
      </c>
      <c r="G12" s="559">
        <f t="shared" si="1"/>
        <v>30</v>
      </c>
      <c r="H12" s="562">
        <f t="shared" si="1"/>
        <v>30</v>
      </c>
      <c r="I12" s="572"/>
      <c r="J12" s="578"/>
      <c r="K12" s="333"/>
      <c r="L12" s="333"/>
      <c r="M12" s="333"/>
      <c r="N12" s="333"/>
      <c r="O12" s="333"/>
      <c r="P12" s="333"/>
      <c r="Q12" s="333"/>
    </row>
    <row r="13" spans="2:17" x14ac:dyDescent="0.35">
      <c r="B13" s="571"/>
      <c r="C13" s="539" t="s">
        <v>564</v>
      </c>
      <c r="D13" s="3"/>
      <c r="E13" s="544">
        <f>IF(E10="bis Nov22",INDEX(Tabelle!$A$4:$K$118,E12,10),INDEX(Tabelle!$A$4:$K$118,E12,11))</f>
        <v>0.45200000000000001</v>
      </c>
      <c r="F13" s="544">
        <f>IF(F10="bis Nov22",INDEX(Tabelle!$A$4:$K$118,F12,10),INDEX(Tabelle!$A$4:$K$118,F12,11))</f>
        <v>0.45200000000000001</v>
      </c>
      <c r="G13" s="544">
        <f>IF(G10="bis Nov22",INDEX(Tabelle!$A$4:$K$118,G12,10),INDEX(Tabelle!$A$4:$K$118,G12,11))</f>
        <v>0.45200000000000001</v>
      </c>
      <c r="H13" s="545">
        <f>IF(H10="bis Nov22",INDEX(Tabelle!$A$4:$K$118,H12,10),INDEX(Tabelle!$A$4:$K$118,H12,11))</f>
        <v>0.45200000000000001</v>
      </c>
      <c r="I13" s="572"/>
      <c r="J13" s="578"/>
      <c r="K13" s="333"/>
      <c r="L13" s="333"/>
      <c r="M13" s="333"/>
      <c r="N13" s="333"/>
      <c r="O13" s="333"/>
      <c r="P13" s="333"/>
      <c r="Q13" s="333"/>
    </row>
    <row r="14" spans="2:17" ht="15" thickBot="1" x14ac:dyDescent="0.4">
      <c r="B14" s="571"/>
      <c r="C14" s="540" t="s">
        <v>565</v>
      </c>
      <c r="D14" s="445"/>
      <c r="E14" s="420">
        <f>INDEX(Tabelle!$A$4:$I$118,E12,IF(E10="bis Nov22",3,IF(E10="Dez22-2023",4,MATCH(E10,Tabelle!$A$4:$I$4))))</f>
        <v>4508.07</v>
      </c>
      <c r="F14" s="420">
        <f>INDEX(Tabelle!$A$4:$I$118,F12,IF(F10="bis Nov22",3,IF(F10="Dez22-2023",4,MATCH(F10,Tabelle!$A$4:$I$4))))</f>
        <v>5861.53</v>
      </c>
      <c r="G14" s="420">
        <f>INDEX(Tabelle!$A$4:$I$118,G12,IF(G10="bis Nov22",3,IF(G10="Dez22-2023",4,MATCH(G10,Tabelle!$A$4:$I$4))))</f>
        <v>4508.07</v>
      </c>
      <c r="H14" s="547">
        <f>INDEX(Tabelle!$A$4:$I$118,H12,IF(H10="bis Nov22",3,IF(H10="Dez22-2023",4,MATCH(H10,Tabelle!$A$4:$I$4))))</f>
        <v>4508.07</v>
      </c>
      <c r="I14" s="572"/>
      <c r="J14" s="578"/>
      <c r="K14" s="333"/>
      <c r="L14" s="333"/>
      <c r="M14" s="333"/>
      <c r="N14" s="333"/>
      <c r="O14" s="333"/>
      <c r="P14" s="333"/>
      <c r="Q14" s="333"/>
    </row>
    <row r="15" spans="2:17" x14ac:dyDescent="0.35">
      <c r="B15" s="571"/>
      <c r="C15" s="539" t="s">
        <v>566</v>
      </c>
      <c r="D15" s="3"/>
      <c r="E15" s="581">
        <v>1000</v>
      </c>
      <c r="F15" s="546">
        <f>F7*F14</f>
        <v>0</v>
      </c>
      <c r="G15" s="546">
        <f>G7*G14</f>
        <v>0</v>
      </c>
      <c r="H15" s="563">
        <f>H7*H14</f>
        <v>0</v>
      </c>
      <c r="I15" s="572"/>
      <c r="J15" s="578"/>
      <c r="K15" s="333"/>
      <c r="L15" s="333"/>
      <c r="M15" s="333"/>
      <c r="N15" s="333"/>
      <c r="O15" s="333"/>
      <c r="P15" s="333"/>
      <c r="Q15" s="333"/>
    </row>
    <row r="16" spans="2:17" x14ac:dyDescent="0.35">
      <c r="B16" s="571"/>
      <c r="C16" s="539" t="s">
        <v>567</v>
      </c>
      <c r="D16" s="582" t="s">
        <v>590</v>
      </c>
      <c r="E16" s="581">
        <v>0</v>
      </c>
      <c r="F16" s="583">
        <v>0</v>
      </c>
      <c r="G16" s="583">
        <v>0</v>
      </c>
      <c r="H16" s="583">
        <v>0</v>
      </c>
      <c r="I16" s="572"/>
      <c r="J16" s="578"/>
      <c r="K16" s="333"/>
      <c r="L16" s="333"/>
      <c r="M16" s="333"/>
      <c r="N16" s="333"/>
      <c r="O16" s="333"/>
      <c r="P16" s="333"/>
      <c r="Q16" s="333"/>
    </row>
    <row r="17" spans="2:17" x14ac:dyDescent="0.35">
      <c r="B17" s="571"/>
      <c r="C17" s="539" t="s">
        <v>568</v>
      </c>
      <c r="D17" s="3"/>
      <c r="E17" s="419">
        <f t="shared" ref="E17:H17" si="2">E16+E15</f>
        <v>1000</v>
      </c>
      <c r="F17" s="419">
        <f t="shared" si="2"/>
        <v>0</v>
      </c>
      <c r="G17" s="419">
        <f t="shared" si="2"/>
        <v>0</v>
      </c>
      <c r="H17" s="546">
        <f t="shared" si="2"/>
        <v>0</v>
      </c>
      <c r="I17" s="572"/>
      <c r="J17" s="578"/>
      <c r="K17" s="333"/>
      <c r="L17" s="333"/>
      <c r="M17" s="333"/>
      <c r="N17" s="333"/>
      <c r="O17" s="333"/>
      <c r="P17" s="333"/>
      <c r="Q17" s="333"/>
    </row>
    <row r="18" spans="2:17" x14ac:dyDescent="0.35">
      <c r="B18" s="571"/>
      <c r="C18" s="539" t="s">
        <v>585</v>
      </c>
      <c r="D18" s="548">
        <f>E18/E$17</f>
        <v>0</v>
      </c>
      <c r="E18" s="581">
        <v>0</v>
      </c>
      <c r="F18" s="546">
        <f>$D18*F$17</f>
        <v>0</v>
      </c>
      <c r="G18" s="546">
        <f>$D18*G$17</f>
        <v>0</v>
      </c>
      <c r="H18" s="546">
        <f>$D18*H$17</f>
        <v>0</v>
      </c>
      <c r="I18" s="572"/>
      <c r="J18" s="578"/>
      <c r="K18" s="333"/>
      <c r="L18" s="333"/>
      <c r="M18" s="333"/>
      <c r="N18" s="333"/>
      <c r="O18" s="333"/>
      <c r="P18" s="333"/>
      <c r="Q18" s="333"/>
    </row>
    <row r="19" spans="2:17" x14ac:dyDescent="0.35">
      <c r="B19" s="571"/>
      <c r="C19" s="539" t="s">
        <v>569</v>
      </c>
      <c r="D19" s="548">
        <f t="shared" ref="D19:D25" si="3">E19/E$17</f>
        <v>0</v>
      </c>
      <c r="E19" s="581">
        <v>0</v>
      </c>
      <c r="F19" s="546">
        <f t="shared" ref="F19:F25" si="4">D19*F$17</f>
        <v>0</v>
      </c>
      <c r="G19" s="546">
        <f t="shared" ref="G19:H25" si="5">$D19*G$17</f>
        <v>0</v>
      </c>
      <c r="H19" s="546">
        <f t="shared" si="5"/>
        <v>0</v>
      </c>
      <c r="I19" s="572"/>
      <c r="J19" s="578"/>
      <c r="K19" s="333"/>
      <c r="L19" s="333"/>
      <c r="M19" s="333"/>
      <c r="N19" s="333"/>
      <c r="O19" s="333"/>
      <c r="P19" s="333"/>
      <c r="Q19" s="333"/>
    </row>
    <row r="20" spans="2:17" x14ac:dyDescent="0.35">
      <c r="B20" s="571"/>
      <c r="C20" s="539" t="s">
        <v>584</v>
      </c>
      <c r="D20" s="548">
        <f t="shared" si="3"/>
        <v>0</v>
      </c>
      <c r="E20" s="581">
        <v>0</v>
      </c>
      <c r="F20" s="546">
        <f t="shared" si="4"/>
        <v>0</v>
      </c>
      <c r="G20" s="546">
        <f t="shared" si="5"/>
        <v>0</v>
      </c>
      <c r="H20" s="546">
        <f t="shared" si="5"/>
        <v>0</v>
      </c>
      <c r="I20" s="572"/>
      <c r="J20" s="578"/>
      <c r="K20" s="333"/>
      <c r="L20" s="333"/>
      <c r="M20" s="333"/>
      <c r="N20" s="333"/>
      <c r="O20" s="333"/>
      <c r="P20" s="333"/>
      <c r="Q20" s="333"/>
    </row>
    <row r="21" spans="2:17" x14ac:dyDescent="0.35">
      <c r="B21" s="571"/>
      <c r="C21" s="539" t="s">
        <v>583</v>
      </c>
      <c r="D21" s="548">
        <f t="shared" si="3"/>
        <v>0</v>
      </c>
      <c r="E21" s="581">
        <v>0</v>
      </c>
      <c r="F21" s="546">
        <f t="shared" si="4"/>
        <v>0</v>
      </c>
      <c r="G21" s="546">
        <f t="shared" si="5"/>
        <v>0</v>
      </c>
      <c r="H21" s="546">
        <f t="shared" si="5"/>
        <v>0</v>
      </c>
      <c r="I21" s="572"/>
      <c r="J21" s="578"/>
      <c r="K21" s="333"/>
      <c r="L21" s="333"/>
      <c r="M21" s="333"/>
      <c r="N21" s="333"/>
      <c r="O21" s="333"/>
      <c r="P21" s="333"/>
      <c r="Q21" s="333"/>
    </row>
    <row r="22" spans="2:17" x14ac:dyDescent="0.35">
      <c r="B22" s="571"/>
      <c r="C22" s="539" t="s">
        <v>582</v>
      </c>
      <c r="D22" s="548">
        <f t="shared" si="3"/>
        <v>0</v>
      </c>
      <c r="E22" s="581">
        <v>0</v>
      </c>
      <c r="F22" s="546">
        <f t="shared" si="4"/>
        <v>0</v>
      </c>
      <c r="G22" s="546">
        <f t="shared" si="5"/>
        <v>0</v>
      </c>
      <c r="H22" s="546">
        <f t="shared" si="5"/>
        <v>0</v>
      </c>
      <c r="I22" s="572"/>
      <c r="J22" s="578"/>
      <c r="K22" s="333"/>
      <c r="L22" s="333"/>
      <c r="M22" s="333"/>
      <c r="N22" s="333"/>
      <c r="O22" s="333"/>
      <c r="P22" s="333"/>
      <c r="Q22" s="333"/>
    </row>
    <row r="23" spans="2:17" x14ac:dyDescent="0.35">
      <c r="B23" s="571"/>
      <c r="C23" s="539" t="s">
        <v>8</v>
      </c>
      <c r="D23" s="548">
        <f t="shared" si="3"/>
        <v>0</v>
      </c>
      <c r="E23" s="581">
        <v>0</v>
      </c>
      <c r="F23" s="546">
        <f t="shared" si="4"/>
        <v>0</v>
      </c>
      <c r="G23" s="546">
        <f t="shared" si="5"/>
        <v>0</v>
      </c>
      <c r="H23" s="546">
        <f t="shared" si="5"/>
        <v>0</v>
      </c>
      <c r="I23" s="572"/>
      <c r="J23" s="578"/>
      <c r="K23" s="333"/>
      <c r="L23" s="333"/>
      <c r="M23" s="333"/>
      <c r="N23" s="333"/>
      <c r="O23" s="333"/>
      <c r="P23" s="333"/>
      <c r="Q23" s="333"/>
    </row>
    <row r="24" spans="2:17" x14ac:dyDescent="0.35">
      <c r="B24" s="571"/>
      <c r="C24" s="539" t="s">
        <v>5</v>
      </c>
      <c r="D24" s="548">
        <f t="shared" si="3"/>
        <v>0</v>
      </c>
      <c r="E24" s="581">
        <v>0</v>
      </c>
      <c r="F24" s="546">
        <f t="shared" si="4"/>
        <v>0</v>
      </c>
      <c r="G24" s="546">
        <f t="shared" si="5"/>
        <v>0</v>
      </c>
      <c r="H24" s="546">
        <f t="shared" si="5"/>
        <v>0</v>
      </c>
      <c r="I24" s="572"/>
      <c r="J24" s="578"/>
      <c r="K24" s="333"/>
      <c r="L24" s="333"/>
      <c r="M24" s="333"/>
      <c r="N24" s="333"/>
      <c r="O24" s="333"/>
      <c r="P24" s="333"/>
      <c r="Q24" s="333"/>
    </row>
    <row r="25" spans="2:17" x14ac:dyDescent="0.35">
      <c r="B25" s="571"/>
      <c r="C25" s="539" t="s">
        <v>6</v>
      </c>
      <c r="D25" s="548">
        <f t="shared" si="3"/>
        <v>0</v>
      </c>
      <c r="E25" s="581">
        <v>0</v>
      </c>
      <c r="F25" s="546">
        <f t="shared" si="4"/>
        <v>0</v>
      </c>
      <c r="G25" s="546">
        <f t="shared" si="5"/>
        <v>0</v>
      </c>
      <c r="H25" s="546">
        <f t="shared" si="5"/>
        <v>0</v>
      </c>
      <c r="I25" s="572"/>
      <c r="J25" s="579"/>
      <c r="K25" s="579"/>
      <c r="L25" s="579"/>
      <c r="M25" s="579"/>
      <c r="N25" s="579"/>
      <c r="O25" s="579"/>
      <c r="P25" s="333"/>
      <c r="Q25" s="333"/>
    </row>
    <row r="26" spans="2:17" ht="15" thickBot="1" x14ac:dyDescent="0.4">
      <c r="B26" s="571"/>
      <c r="C26" s="539" t="s">
        <v>570</v>
      </c>
      <c r="D26" s="541">
        <v>6.65</v>
      </c>
      <c r="E26" s="581">
        <v>0</v>
      </c>
      <c r="F26" s="546">
        <f>IF($E$26=0,0,$D$26*F7)</f>
        <v>0</v>
      </c>
      <c r="G26" s="546">
        <f>IF($E$26=0,0,$D$26*G7)</f>
        <v>0</v>
      </c>
      <c r="H26" s="546">
        <f>IF($E$26=0,0,$D$26*H7)</f>
        <v>0</v>
      </c>
      <c r="I26" s="572"/>
      <c r="J26" s="333"/>
      <c r="K26" s="579"/>
      <c r="L26" s="579"/>
      <c r="M26" s="579"/>
      <c r="N26" s="579"/>
      <c r="O26" s="579"/>
      <c r="P26" s="333"/>
      <c r="Q26" s="333"/>
    </row>
    <row r="27" spans="2:17" ht="14.5" customHeight="1" x14ac:dyDescent="0.35">
      <c r="B27" s="571"/>
      <c r="C27" s="538" t="s">
        <v>571</v>
      </c>
      <c r="D27" s="1009" t="s">
        <v>572</v>
      </c>
      <c r="E27" s="549">
        <f>SUM(E17:E26)</f>
        <v>1000</v>
      </c>
      <c r="F27" s="549">
        <f>SUM(F17:F26)</f>
        <v>0</v>
      </c>
      <c r="G27" s="549">
        <f>SUM(G17:G26)</f>
        <v>0</v>
      </c>
      <c r="H27" s="550">
        <f>SUM(H17:H26)</f>
        <v>0</v>
      </c>
      <c r="I27" s="572"/>
      <c r="J27" s="579"/>
      <c r="K27" s="579"/>
      <c r="L27" s="579"/>
      <c r="M27" s="579"/>
      <c r="N27" s="579"/>
      <c r="O27" s="579"/>
      <c r="P27" s="333"/>
      <c r="Q27" s="333"/>
    </row>
    <row r="28" spans="2:17" x14ac:dyDescent="0.35">
      <c r="B28" s="571"/>
      <c r="C28" s="539" t="s">
        <v>573</v>
      </c>
      <c r="D28" s="1010"/>
      <c r="E28" s="551">
        <f>E27*E13/12</f>
        <v>37.666666666666664</v>
      </c>
      <c r="F28" s="551">
        <f>F27*F13/12</f>
        <v>0</v>
      </c>
      <c r="G28" s="551">
        <f>G27*G13/12</f>
        <v>0</v>
      </c>
      <c r="H28" s="552">
        <f>H27*H13/12</f>
        <v>0</v>
      </c>
      <c r="I28" s="572"/>
      <c r="J28" s="579"/>
      <c r="K28" s="579"/>
      <c r="L28" s="579"/>
      <c r="M28" s="579"/>
      <c r="N28" s="579"/>
      <c r="O28" s="579"/>
      <c r="P28" s="333"/>
      <c r="Q28" s="333"/>
    </row>
    <row r="29" spans="2:17" ht="15" thickBot="1" x14ac:dyDescent="0.4">
      <c r="B29" s="571"/>
      <c r="C29" s="540" t="s">
        <v>574</v>
      </c>
      <c r="D29" s="1011"/>
      <c r="E29" s="551">
        <f>E28+E27</f>
        <v>1037.6666666666667</v>
      </c>
      <c r="F29" s="553">
        <f>F28+F27</f>
        <v>0</v>
      </c>
      <c r="G29" s="553">
        <f>G28+G27</f>
        <v>0</v>
      </c>
      <c r="H29" s="554">
        <f>H28+H27</f>
        <v>0</v>
      </c>
      <c r="I29" s="572"/>
      <c r="J29" s="579"/>
      <c r="K29" s="579"/>
      <c r="L29" s="579"/>
      <c r="M29" s="579"/>
      <c r="N29" s="579"/>
      <c r="O29" s="579"/>
      <c r="P29" s="333"/>
      <c r="Q29" s="333"/>
    </row>
    <row r="30" spans="2:17" x14ac:dyDescent="0.35">
      <c r="B30" s="571"/>
      <c r="C30" s="538" t="s">
        <v>571</v>
      </c>
      <c r="D30" s="1023" t="s">
        <v>587</v>
      </c>
      <c r="E30" s="550">
        <f>E27/E$7</f>
        <v>4506.5344749887336</v>
      </c>
      <c r="F30" s="550" t="e">
        <f>F27/F$7</f>
        <v>#DIV/0!</v>
      </c>
      <c r="G30" s="550" t="e">
        <f>G27/G$7</f>
        <v>#DIV/0!</v>
      </c>
      <c r="H30" s="550" t="e">
        <f>H27/H$7</f>
        <v>#DIV/0!</v>
      </c>
      <c r="I30" s="572"/>
      <c r="J30" s="579"/>
      <c r="K30" s="579"/>
      <c r="L30" s="579"/>
      <c r="M30" s="579"/>
      <c r="N30" s="579"/>
      <c r="O30" s="579"/>
      <c r="P30" s="333"/>
      <c r="Q30" s="333"/>
    </row>
    <row r="31" spans="2:17" x14ac:dyDescent="0.35">
      <c r="B31" s="571"/>
      <c r="C31" s="539" t="s">
        <v>573</v>
      </c>
      <c r="D31" s="937"/>
      <c r="E31" s="552">
        <f t="shared" ref="E31:F32" si="6">E28/E$7</f>
        <v>169.7461318912423</v>
      </c>
      <c r="F31" s="552" t="e">
        <f t="shared" si="6"/>
        <v>#DIV/0!</v>
      </c>
      <c r="G31" s="552" t="e">
        <f t="shared" ref="G31:H31" si="7">G28/G$7</f>
        <v>#DIV/0!</v>
      </c>
      <c r="H31" s="552" t="e">
        <f t="shared" si="7"/>
        <v>#DIV/0!</v>
      </c>
      <c r="I31" s="572"/>
      <c r="J31" s="579"/>
      <c r="K31" s="579"/>
      <c r="L31" s="579"/>
      <c r="M31" s="579"/>
      <c r="N31" s="579"/>
      <c r="O31" s="579"/>
      <c r="P31" s="333"/>
      <c r="Q31" s="333"/>
    </row>
    <row r="32" spans="2:17" ht="15" thickBot="1" x14ac:dyDescent="0.4">
      <c r="B32" s="571"/>
      <c r="C32" s="540" t="s">
        <v>574</v>
      </c>
      <c r="D32" s="1024"/>
      <c r="E32" s="599">
        <f t="shared" si="6"/>
        <v>4676.2806068799764</v>
      </c>
      <c r="F32" s="599" t="e">
        <f t="shared" si="6"/>
        <v>#DIV/0!</v>
      </c>
      <c r="G32" s="599" t="e">
        <f t="shared" ref="G32:H32" si="8">G29/G$7</f>
        <v>#DIV/0!</v>
      </c>
      <c r="H32" s="601" t="e">
        <f t="shared" si="8"/>
        <v>#DIV/0!</v>
      </c>
      <c r="I32" s="572"/>
      <c r="J32" s="604" t="s">
        <v>591</v>
      </c>
      <c r="K32" s="579"/>
      <c r="L32" s="579"/>
      <c r="M32" s="579"/>
      <c r="N32" s="579"/>
      <c r="O32" s="579"/>
      <c r="P32" s="333"/>
      <c r="Q32" s="333"/>
    </row>
    <row r="33" spans="1:17" x14ac:dyDescent="0.35">
      <c r="B33" s="571"/>
      <c r="C33" s="539" t="s">
        <v>576</v>
      </c>
      <c r="D33" s="1009" t="s">
        <v>577</v>
      </c>
      <c r="E33" s="580">
        <v>0.5</v>
      </c>
      <c r="F33" s="580">
        <v>0.5</v>
      </c>
      <c r="G33" s="580">
        <v>0.5</v>
      </c>
      <c r="H33" s="602">
        <v>0.5</v>
      </c>
      <c r="I33" s="572"/>
      <c r="J33" s="603"/>
      <c r="K33" s="333"/>
      <c r="L33" s="333"/>
      <c r="M33" s="333"/>
      <c r="N33" s="333"/>
      <c r="O33" s="333"/>
      <c r="P33" s="333"/>
      <c r="Q33" s="333"/>
    </row>
    <row r="34" spans="1:17" ht="15" thickBot="1" x14ac:dyDescent="0.4">
      <c r="B34" s="571"/>
      <c r="C34" s="539" t="s">
        <v>593</v>
      </c>
      <c r="D34" s="1010"/>
      <c r="E34" s="605">
        <f>ROUND(E33*$D$6,2)</f>
        <v>19.920000000000002</v>
      </c>
      <c r="F34" s="605">
        <f>F33*$D$6</f>
        <v>19.914999999999999</v>
      </c>
      <c r="G34" s="605">
        <f>G33*$D$6</f>
        <v>19.914999999999999</v>
      </c>
      <c r="H34" s="606">
        <f>H33*$D$6</f>
        <v>19.914999999999999</v>
      </c>
      <c r="I34" s="572"/>
      <c r="J34" s="604" t="s">
        <v>588</v>
      </c>
      <c r="K34" s="333"/>
      <c r="L34" s="333"/>
      <c r="M34" s="333"/>
      <c r="N34" s="333"/>
      <c r="O34" s="333"/>
      <c r="P34" s="333"/>
      <c r="Q34" s="333"/>
    </row>
    <row r="35" spans="1:17" ht="14.5" customHeight="1" x14ac:dyDescent="0.35">
      <c r="B35" s="571"/>
      <c r="C35" s="538" t="s">
        <v>571</v>
      </c>
      <c r="D35" s="1010"/>
      <c r="E35" s="600">
        <f>$E$33*E30</f>
        <v>2253.2672374943668</v>
      </c>
      <c r="F35" s="600" t="e">
        <f>$E$33*F30</f>
        <v>#DIV/0!</v>
      </c>
      <c r="G35" s="600" t="e">
        <f>$E$33*G30</f>
        <v>#DIV/0!</v>
      </c>
      <c r="H35" s="601" t="e">
        <f>$E$33*H30</f>
        <v>#DIV/0!</v>
      </c>
      <c r="I35" s="572"/>
      <c r="J35" s="604" t="s">
        <v>588</v>
      </c>
      <c r="K35" s="333"/>
      <c r="L35" s="333"/>
      <c r="M35" s="333"/>
      <c r="N35" s="333"/>
      <c r="O35" s="333"/>
      <c r="P35" s="333"/>
      <c r="Q35" s="333"/>
    </row>
    <row r="36" spans="1:17" x14ac:dyDescent="0.35">
      <c r="B36" s="571"/>
      <c r="C36" s="539" t="s">
        <v>573</v>
      </c>
      <c r="D36" s="1010"/>
      <c r="E36" s="601">
        <f t="shared" ref="E36:F37" si="9">$E$33*E31</f>
        <v>84.87306594562115</v>
      </c>
      <c r="F36" s="601" t="e">
        <f t="shared" si="9"/>
        <v>#DIV/0!</v>
      </c>
      <c r="G36" s="601" t="e">
        <f t="shared" ref="G36:H36" si="10">$E$33*G31</f>
        <v>#DIV/0!</v>
      </c>
      <c r="H36" s="601" t="e">
        <f t="shared" si="10"/>
        <v>#DIV/0!</v>
      </c>
      <c r="I36" s="572"/>
      <c r="J36" s="604" t="s">
        <v>588</v>
      </c>
      <c r="K36" s="333"/>
      <c r="L36" s="333"/>
      <c r="M36" s="333"/>
      <c r="N36" s="333"/>
      <c r="O36" s="333"/>
      <c r="P36" s="333"/>
      <c r="Q36" s="333"/>
    </row>
    <row r="37" spans="1:17" ht="15" thickBot="1" x14ac:dyDescent="0.4">
      <c r="B37" s="571"/>
      <c r="C37" s="540" t="s">
        <v>574</v>
      </c>
      <c r="D37" s="1011"/>
      <c r="E37" s="599">
        <f t="shared" si="9"/>
        <v>2338.1403034399882</v>
      </c>
      <c r="F37" s="599" t="e">
        <f t="shared" si="9"/>
        <v>#DIV/0!</v>
      </c>
      <c r="G37" s="599" t="e">
        <f t="shared" ref="G37:H37" si="11">$E$33*G32</f>
        <v>#DIV/0!</v>
      </c>
      <c r="H37" s="599" t="e">
        <f t="shared" si="11"/>
        <v>#DIV/0!</v>
      </c>
      <c r="I37" s="572"/>
      <c r="J37" s="604" t="s">
        <v>588</v>
      </c>
      <c r="K37" s="333"/>
      <c r="L37" s="333"/>
      <c r="M37" s="333"/>
      <c r="N37" s="333"/>
      <c r="O37" s="333"/>
      <c r="P37" s="333"/>
      <c r="Q37" s="333"/>
    </row>
    <row r="38" spans="1:17" x14ac:dyDescent="0.35">
      <c r="B38" s="571"/>
      <c r="C38" s="566" t="s">
        <v>575</v>
      </c>
      <c r="D38" s="1014"/>
      <c r="E38" s="1015"/>
      <c r="F38" s="1015"/>
      <c r="G38" s="1015"/>
      <c r="H38" s="1016"/>
      <c r="I38" s="572"/>
      <c r="J38" s="333"/>
      <c r="K38" s="333"/>
      <c r="L38" s="333"/>
      <c r="M38" s="333"/>
      <c r="N38" s="333"/>
      <c r="O38" s="333"/>
      <c r="P38" s="333"/>
      <c r="Q38" s="333"/>
    </row>
    <row r="39" spans="1:17" x14ac:dyDescent="0.35">
      <c r="B39" s="571"/>
      <c r="C39" s="567"/>
      <c r="D39" s="1017"/>
      <c r="E39" s="1018"/>
      <c r="F39" s="1018"/>
      <c r="G39" s="1018"/>
      <c r="H39" s="1019"/>
      <c r="I39" s="572"/>
      <c r="J39" s="333"/>
      <c r="K39" s="333"/>
      <c r="L39" s="333"/>
      <c r="M39" s="333"/>
      <c r="N39" s="333"/>
      <c r="O39" s="333"/>
      <c r="P39" s="333"/>
      <c r="Q39" s="333"/>
    </row>
    <row r="40" spans="1:17" ht="15" thickBot="1" x14ac:dyDescent="0.4">
      <c r="A40" s="3"/>
      <c r="B40" s="571"/>
      <c r="C40" s="568"/>
      <c r="D40" s="1020"/>
      <c r="E40" s="1021"/>
      <c r="F40" s="1021"/>
      <c r="G40" s="1021"/>
      <c r="H40" s="1022"/>
      <c r="I40" s="572"/>
      <c r="J40" s="333"/>
      <c r="K40" s="333"/>
      <c r="L40" s="333"/>
      <c r="M40" s="333"/>
      <c r="N40" s="333"/>
      <c r="O40" s="333"/>
      <c r="P40" s="333"/>
      <c r="Q40" s="333"/>
    </row>
    <row r="41" spans="1:17" ht="8.5" customHeight="1" thickBot="1" x14ac:dyDescent="0.4">
      <c r="A41" s="3"/>
      <c r="B41" s="573"/>
      <c r="C41" s="276"/>
      <c r="D41" s="276"/>
      <c r="E41" s="276"/>
      <c r="F41" s="276"/>
      <c r="G41" s="276"/>
      <c r="H41" s="276"/>
      <c r="I41" s="574"/>
      <c r="J41" s="333"/>
      <c r="K41" s="333"/>
      <c r="L41" s="333"/>
      <c r="M41" s="333"/>
      <c r="N41" s="333"/>
      <c r="O41" s="333"/>
      <c r="P41" s="333"/>
      <c r="Q41" s="333"/>
    </row>
    <row r="42" spans="1:17" ht="15" thickTop="1" x14ac:dyDescent="0.35">
      <c r="A42" s="333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</row>
    <row r="43" spans="1:17" x14ac:dyDescent="0.35">
      <c r="A43" s="333"/>
      <c r="B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</row>
    <row r="44" spans="1:17" x14ac:dyDescent="0.35">
      <c r="A44" s="333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</row>
    <row r="45" spans="1:17" x14ac:dyDescent="0.35">
      <c r="A45" s="333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</row>
    <row r="46" spans="1:17" x14ac:dyDescent="0.35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</row>
    <row r="47" spans="1:17" x14ac:dyDescent="0.35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</row>
    <row r="48" spans="1:17" x14ac:dyDescent="0.35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</row>
    <row r="49" spans="1:17" x14ac:dyDescent="0.35">
      <c r="A49" s="333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</row>
    <row r="50" spans="1:17" x14ac:dyDescent="0.35">
      <c r="A50" s="333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</row>
    <row r="51" spans="1:17" x14ac:dyDescent="0.35">
      <c r="A51" s="333"/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</row>
    <row r="52" spans="1:17" x14ac:dyDescent="0.35">
      <c r="A52" s="333"/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</row>
    <row r="53" spans="1:17" x14ac:dyDescent="0.35">
      <c r="A53" s="333"/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</row>
    <row r="54" spans="1:17" x14ac:dyDescent="0.35">
      <c r="A54" s="333"/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</row>
    <row r="55" spans="1:17" x14ac:dyDescent="0.35">
      <c r="A55" s="333"/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</row>
    <row r="56" spans="1:17" x14ac:dyDescent="0.35">
      <c r="A56" s="333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</row>
    <row r="57" spans="1:17" x14ac:dyDescent="0.35">
      <c r="A57" s="333"/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</row>
    <row r="58" spans="1:17" x14ac:dyDescent="0.35">
      <c r="A58" s="333"/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</row>
    <row r="59" spans="1:17" x14ac:dyDescent="0.35">
      <c r="A59" s="333"/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</row>
    <row r="60" spans="1:17" x14ac:dyDescent="0.35">
      <c r="A60" s="333"/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</row>
    <row r="61" spans="1:17" x14ac:dyDescent="0.35">
      <c r="A61" s="333"/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</row>
    <row r="62" spans="1:17" x14ac:dyDescent="0.35">
      <c r="A62" s="333"/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</row>
    <row r="63" spans="1:17" x14ac:dyDescent="0.35">
      <c r="A63" s="333"/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</row>
    <row r="64" spans="1:17" x14ac:dyDescent="0.35">
      <c r="A64" s="333"/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</row>
    <row r="65" spans="1:17" x14ac:dyDescent="0.35">
      <c r="A65" s="333"/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</row>
    <row r="66" spans="1:17" x14ac:dyDescent="0.35">
      <c r="A66" s="333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</row>
  </sheetData>
  <sheetProtection sheet="1" objects="1" scenarios="1"/>
  <mergeCells count="6">
    <mergeCell ref="P3:Q3"/>
    <mergeCell ref="D33:D37"/>
    <mergeCell ref="C3:D3"/>
    <mergeCell ref="D38:H40"/>
    <mergeCell ref="D30:D32"/>
    <mergeCell ref="D27:D29"/>
  </mergeCells>
  <pageMargins left="0.7" right="0.7" top="0.78740157499999996" bottom="0.78740157499999996" header="0.3" footer="0.3"/>
  <pageSetup paperSize="9" scale="72" orientation="portrait" r:id="rId1"/>
  <ignoredErrors>
    <ignoredError sqref="E27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'Infos FoFö'!$C$99:$C$117</xm:f>
          </x14:formula1>
          <xm:sqref>E8:H8</xm:sqref>
        </x14:dataValidation>
        <x14:dataValidation type="list" allowBlank="1" showInputMessage="1" showErrorMessage="1">
          <x14:formula1>
            <xm:f>'Infos FoFö'!$D$99:$D$104</xm:f>
          </x14:formula1>
          <xm:sqref>E9:H9</xm:sqref>
        </x14:dataValidation>
        <x14:dataValidation type="list" allowBlank="1" showInputMessage="1" showErrorMessage="1">
          <x14:formula1>
            <xm:f>'Infos FoFö'!$E$99:$E$105</xm:f>
          </x14:formula1>
          <xm:sqref>E10:H10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17"/>
  <sheetViews>
    <sheetView topLeftCell="A34" zoomScale="85" zoomScaleNormal="85" workbookViewId="0">
      <selection activeCell="M50" sqref="M50"/>
    </sheetView>
  </sheetViews>
  <sheetFormatPr baseColWidth="10" defaultColWidth="11.54296875" defaultRowHeight="14.5" x14ac:dyDescent="0.35"/>
  <cols>
    <col min="1" max="2" width="2.54296875" style="305" customWidth="1"/>
    <col min="3" max="3" width="7.7265625" style="305" customWidth="1"/>
    <col min="4" max="4" width="14.7265625" style="305" customWidth="1"/>
    <col min="5" max="5" width="12.7265625" style="305" customWidth="1"/>
    <col min="6" max="7" width="9.453125" style="305" customWidth="1"/>
    <col min="8" max="8" width="8.54296875" style="305" customWidth="1"/>
    <col min="9" max="11" width="9.26953125" style="305" customWidth="1"/>
    <col min="12" max="12" width="8.54296875" style="305" customWidth="1"/>
    <col min="13" max="13" width="10.81640625" style="305" customWidth="1"/>
    <col min="14" max="14" width="11.1796875" style="305" customWidth="1"/>
    <col min="15" max="15" width="11.453125" style="305" customWidth="1"/>
    <col min="16" max="17" width="11.54296875" style="305"/>
    <col min="18" max="18" width="9.453125" style="305" customWidth="1"/>
    <col min="19" max="19" width="10.54296875" style="305" customWidth="1"/>
    <col min="20" max="21" width="10.7265625" style="305" customWidth="1"/>
    <col min="22" max="22" width="11.7265625" style="305" customWidth="1"/>
    <col min="23" max="23" width="12.81640625" style="305" customWidth="1"/>
    <col min="24" max="26" width="11.54296875" style="305"/>
    <col min="27" max="27" width="6.453125" style="305" customWidth="1"/>
    <col min="28" max="16384" width="11.54296875" style="305"/>
  </cols>
  <sheetData>
    <row r="1" spans="1:48" ht="9.65" customHeight="1" thickBot="1" x14ac:dyDescent="0.6">
      <c r="C1" s="677"/>
    </row>
    <row r="2" spans="1:48" ht="24" thickTop="1" x14ac:dyDescent="0.55000000000000004">
      <c r="A2" s="307"/>
      <c r="B2" s="301"/>
      <c r="C2" s="782" t="s">
        <v>556</v>
      </c>
      <c r="D2" s="783"/>
      <c r="E2" s="783"/>
      <c r="F2" s="783"/>
      <c r="G2" s="783"/>
      <c r="H2" s="783"/>
      <c r="I2" s="783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69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</row>
    <row r="3" spans="1:48" ht="10.15" customHeight="1" x14ac:dyDescent="0.55000000000000004">
      <c r="A3" s="307"/>
      <c r="B3" s="303"/>
      <c r="C3" s="678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7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</row>
    <row r="4" spans="1:48" x14ac:dyDescent="0.35">
      <c r="A4" s="307"/>
      <c r="B4" s="303"/>
      <c r="C4" s="1025" t="s">
        <v>298</v>
      </c>
      <c r="D4" s="1026"/>
      <c r="E4" s="1026"/>
      <c r="F4" s="1027"/>
      <c r="G4" s="786" t="s">
        <v>555</v>
      </c>
      <c r="H4" s="787"/>
      <c r="I4" s="787"/>
      <c r="J4" s="787"/>
      <c r="K4" s="788"/>
      <c r="L4" s="789" t="s">
        <v>665</v>
      </c>
      <c r="M4" s="790"/>
      <c r="N4" s="790"/>
      <c r="O4" s="790"/>
      <c r="P4" s="791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7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</row>
    <row r="5" spans="1:48" x14ac:dyDescent="0.35">
      <c r="A5" s="307"/>
      <c r="B5" s="303"/>
      <c r="C5" s="1030" t="s">
        <v>558</v>
      </c>
      <c r="D5" s="1031"/>
      <c r="E5" s="1031"/>
      <c r="F5" s="1031"/>
      <c r="G5" s="1031"/>
      <c r="H5" s="1031"/>
      <c r="I5" s="1031"/>
      <c r="J5" s="1031"/>
      <c r="K5" s="1031"/>
      <c r="L5" s="1032"/>
      <c r="M5" s="1032"/>
      <c r="N5" s="1032"/>
      <c r="O5" s="1032"/>
      <c r="P5" s="1032"/>
      <c r="Q5" s="1031"/>
      <c r="R5" s="1031"/>
      <c r="S5" s="1031"/>
      <c r="T5" s="1031"/>
      <c r="U5" s="1031"/>
      <c r="V5" s="1031"/>
      <c r="W5" s="1033"/>
      <c r="X5" s="307"/>
      <c r="Y5" s="307"/>
      <c r="Z5" s="307"/>
      <c r="AA5" s="37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</row>
    <row r="6" spans="1:48" ht="28.15" customHeight="1" x14ac:dyDescent="0.35">
      <c r="A6" s="307"/>
      <c r="B6" s="303"/>
      <c r="C6" s="1034" t="str">
        <f>CONCATENATE("Info: ",'RK-Infos'!J23)</f>
        <v>Info: EWR: Europäischer Wirtschaftsraum (Tagessatz (24 h; &gt;11 h; 8-11 h): Mittelwert à 42 € bzw. 33,5 € bzw. 16,5 € aus Minimum: Bulgarien: 18 €, 14 €, 7 € und Maximum: Norwegen: 66 €, 53 €, 26 €; Übernachtung: Mittelwert 126,5 € aus Minimum: Ungarn: 63 € und Maximum: Liechtenstein: 190 €.)</v>
      </c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4"/>
      <c r="S6" s="1034"/>
      <c r="T6" s="1034"/>
      <c r="U6" s="1034"/>
      <c r="V6" s="1034"/>
      <c r="W6" s="1034"/>
      <c r="X6" s="307"/>
      <c r="Y6" s="307"/>
      <c r="Z6" s="307"/>
      <c r="AA6" s="37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</row>
    <row r="7" spans="1:48" ht="29.5" customHeight="1" x14ac:dyDescent="0.35">
      <c r="A7" s="307"/>
      <c r="B7" s="303"/>
      <c r="C7" s="1034" t="str">
        <f>CONCATENATE("Info: ",'RK-Infos'!J24)</f>
        <v>Info: Weltweit (Tagessatz (24 h; &gt;11 h; 8-11 h): Mittelwert à 41 € bzw. 33 € bzw. 16 € aus Minimum: Weißrussland: 16 €, 13 €, 6 € und Maximum: Norwegen: 66 €, 53 €, 26 €; Übernachtung: Mittelwert 188,5 € aus Minimum: Ungarn: 63 € und Maximum: Vereinigte Staaten von Amerika (USA) - San Francisco: 314 €.)</v>
      </c>
      <c r="D7" s="1034"/>
      <c r="E7" s="1034"/>
      <c r="F7" s="1034"/>
      <c r="G7" s="1034"/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4"/>
      <c r="T7" s="1034"/>
      <c r="U7" s="1034"/>
      <c r="V7" s="1034"/>
      <c r="W7" s="1034"/>
      <c r="X7" s="307"/>
      <c r="Y7" s="307"/>
      <c r="Z7" s="307"/>
      <c r="AA7" s="37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</row>
    <row r="8" spans="1:48" x14ac:dyDescent="0.35">
      <c r="A8" s="307"/>
      <c r="B8" s="303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7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</row>
    <row r="9" spans="1:48" s="679" customFormat="1" ht="15" thickBot="1" x14ac:dyDescent="0.4">
      <c r="B9" s="784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698"/>
      <c r="AA9" s="785"/>
      <c r="AB9" s="653"/>
      <c r="AC9" s="653"/>
      <c r="AD9" s="653"/>
      <c r="AE9" s="653"/>
      <c r="AF9" s="653"/>
      <c r="AG9" s="653"/>
      <c r="AH9" s="653"/>
      <c r="AI9" s="653"/>
      <c r="AJ9" s="653"/>
      <c r="AK9" s="653"/>
      <c r="AL9" s="653"/>
      <c r="AM9" s="653"/>
      <c r="AN9" s="653"/>
      <c r="AO9" s="653"/>
      <c r="AP9" s="653"/>
      <c r="AQ9" s="653"/>
      <c r="AR9" s="653"/>
      <c r="AS9" s="653"/>
      <c r="AT9" s="653"/>
      <c r="AU9" s="653"/>
      <c r="AV9" s="653"/>
    </row>
    <row r="10" spans="1:48" s="679" customFormat="1" ht="15" thickBot="1" x14ac:dyDescent="0.4">
      <c r="B10" s="784"/>
      <c r="C10" s="680" t="s">
        <v>640</v>
      </c>
      <c r="D10" s="681"/>
      <c r="E10" s="681"/>
      <c r="F10" s="681" t="s">
        <v>656</v>
      </c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2"/>
      <c r="X10" s="698"/>
      <c r="Y10" s="698"/>
      <c r="Z10" s="698"/>
      <c r="AA10" s="785"/>
      <c r="AB10" s="653"/>
      <c r="AC10" s="653"/>
      <c r="AD10" s="653"/>
      <c r="AE10" s="653"/>
      <c r="AF10" s="653"/>
      <c r="AG10" s="653"/>
      <c r="AH10" s="653"/>
      <c r="AI10" s="653"/>
      <c r="AJ10" s="653"/>
      <c r="AK10" s="653"/>
      <c r="AL10" s="653"/>
      <c r="AM10" s="653"/>
      <c r="AN10" s="653"/>
      <c r="AO10" s="653"/>
      <c r="AP10" s="653"/>
      <c r="AQ10" s="653"/>
      <c r="AR10" s="653"/>
      <c r="AS10" s="653"/>
      <c r="AT10" s="653"/>
      <c r="AU10" s="653"/>
      <c r="AV10" s="653"/>
    </row>
    <row r="11" spans="1:48" s="679" customFormat="1" ht="15" thickBot="1" x14ac:dyDescent="0.4">
      <c r="B11" s="784"/>
      <c r="C11" s="680" t="s">
        <v>97</v>
      </c>
      <c r="D11" s="683" t="s">
        <v>641</v>
      </c>
      <c r="E11" s="681"/>
      <c r="F11" s="681"/>
      <c r="G11" s="682"/>
      <c r="H11" s="680" t="s">
        <v>311</v>
      </c>
      <c r="I11" s="681"/>
      <c r="J11" s="682"/>
      <c r="K11" s="680" t="s">
        <v>635</v>
      </c>
      <c r="L11" s="681"/>
      <c r="M11" s="681"/>
      <c r="N11" s="681"/>
      <c r="O11" s="681"/>
      <c r="P11" s="682"/>
      <c r="Q11" s="680" t="s">
        <v>636</v>
      </c>
      <c r="R11" s="681"/>
      <c r="S11" s="682"/>
      <c r="T11" s="680" t="s">
        <v>637</v>
      </c>
      <c r="U11" s="684"/>
      <c r="V11" s="685" t="s">
        <v>638</v>
      </c>
      <c r="W11" s="685" t="s">
        <v>639</v>
      </c>
      <c r="X11" s="698"/>
      <c r="Y11" s="688"/>
      <c r="Z11" s="688"/>
      <c r="AA11" s="785"/>
      <c r="AB11" s="653"/>
      <c r="AC11" s="653"/>
      <c r="AD11" s="653"/>
      <c r="AE11" s="653"/>
      <c r="AF11" s="653"/>
      <c r="AG11" s="653"/>
      <c r="AH11" s="653"/>
      <c r="AI11" s="653"/>
      <c r="AJ11" s="653"/>
      <c r="AK11" s="653"/>
      <c r="AL11" s="653"/>
      <c r="AM11" s="653"/>
      <c r="AN11" s="653"/>
      <c r="AO11" s="653"/>
      <c r="AP11" s="653"/>
      <c r="AQ11" s="653"/>
      <c r="AR11" s="653"/>
      <c r="AS11" s="653"/>
      <c r="AT11" s="653"/>
      <c r="AU11" s="653"/>
      <c r="AV11" s="653"/>
    </row>
    <row r="12" spans="1:48" s="679" customFormat="1" ht="14.5" customHeight="1" x14ac:dyDescent="0.35">
      <c r="B12" s="784"/>
      <c r="C12" s="686"/>
      <c r="D12" s="687" t="s">
        <v>309</v>
      </c>
      <c r="E12" s="688" t="s">
        <v>557</v>
      </c>
      <c r="F12" s="1035" t="s">
        <v>310</v>
      </c>
      <c r="G12" s="1036" t="s">
        <v>651</v>
      </c>
      <c r="H12" s="689" t="s">
        <v>299</v>
      </c>
      <c r="I12" s="690">
        <v>24</v>
      </c>
      <c r="J12" s="691"/>
      <c r="K12" s="692" t="s">
        <v>643</v>
      </c>
      <c r="L12" s="693"/>
      <c r="M12" s="688" t="s">
        <v>644</v>
      </c>
      <c r="N12" s="688" t="s">
        <v>645</v>
      </c>
      <c r="O12" s="688" t="s">
        <v>647</v>
      </c>
      <c r="P12" s="694" t="s">
        <v>192</v>
      </c>
      <c r="Q12" s="689" t="s">
        <v>304</v>
      </c>
      <c r="R12" s="695">
        <v>80</v>
      </c>
      <c r="S12" s="696"/>
      <c r="T12" s="686"/>
      <c r="U12" s="696"/>
      <c r="V12" s="1028" t="s">
        <v>658</v>
      </c>
      <c r="W12" s="697"/>
      <c r="X12" s="698"/>
      <c r="Y12" s="698"/>
      <c r="Z12" s="698"/>
      <c r="AA12" s="785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653"/>
      <c r="AQ12" s="653"/>
      <c r="AR12" s="653"/>
      <c r="AS12" s="653"/>
      <c r="AT12" s="653"/>
      <c r="AU12" s="653"/>
      <c r="AV12" s="653"/>
    </row>
    <row r="13" spans="1:48" s="679" customFormat="1" ht="14.5" customHeight="1" x14ac:dyDescent="0.35">
      <c r="B13" s="784"/>
      <c r="C13" s="686"/>
      <c r="D13" s="698"/>
      <c r="E13" s="699"/>
      <c r="F13" s="1035"/>
      <c r="G13" s="1036"/>
      <c r="H13" s="689" t="s">
        <v>300</v>
      </c>
      <c r="I13" s="690">
        <v>12</v>
      </c>
      <c r="J13" s="700"/>
      <c r="K13" s="701" t="s">
        <v>308</v>
      </c>
      <c r="L13" s="702">
        <v>0.3</v>
      </c>
      <c r="M13" s="698"/>
      <c r="N13" s="698"/>
      <c r="O13" s="698"/>
      <c r="P13" s="696"/>
      <c r="Q13" s="689" t="s">
        <v>303</v>
      </c>
      <c r="R13" s="703">
        <v>50</v>
      </c>
      <c r="S13" s="696"/>
      <c r="T13" s="686"/>
      <c r="U13" s="696"/>
      <c r="V13" s="1029"/>
      <c r="W13" s="697"/>
      <c r="X13" s="698"/>
      <c r="Y13" s="698"/>
      <c r="Z13" s="698"/>
      <c r="AA13" s="785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3"/>
      <c r="AN13" s="653"/>
      <c r="AO13" s="653"/>
      <c r="AP13" s="653"/>
      <c r="AQ13" s="653"/>
      <c r="AR13" s="653"/>
      <c r="AS13" s="653"/>
      <c r="AT13" s="653"/>
      <c r="AU13" s="653"/>
      <c r="AV13" s="653"/>
    </row>
    <row r="14" spans="1:48" s="679" customFormat="1" x14ac:dyDescent="0.35">
      <c r="B14" s="784"/>
      <c r="C14" s="686"/>
      <c r="D14" s="698"/>
      <c r="E14" s="699"/>
      <c r="F14" s="698"/>
      <c r="G14" s="1036"/>
      <c r="H14" s="704" t="s">
        <v>301</v>
      </c>
      <c r="I14" s="705">
        <v>6</v>
      </c>
      <c r="J14" s="696"/>
      <c r="K14" s="704" t="s">
        <v>642</v>
      </c>
      <c r="L14" s="706">
        <v>0.05</v>
      </c>
      <c r="M14" s="698"/>
      <c r="N14" s="698"/>
      <c r="O14" s="698"/>
      <c r="P14" s="696"/>
      <c r="Q14" s="704" t="s">
        <v>646</v>
      </c>
      <c r="R14" s="665">
        <v>130</v>
      </c>
      <c r="S14" s="696"/>
      <c r="T14" s="686"/>
      <c r="U14" s="696"/>
      <c r="V14" s="1029"/>
      <c r="W14" s="697"/>
      <c r="X14" s="698"/>
      <c r="Y14" s="698"/>
      <c r="Z14" s="698"/>
      <c r="AA14" s="785"/>
      <c r="AB14" s="653"/>
      <c r="AC14" s="653"/>
      <c r="AD14" s="653"/>
      <c r="AE14" s="653"/>
      <c r="AF14" s="653"/>
      <c r="AG14" s="653"/>
      <c r="AH14" s="653"/>
      <c r="AI14" s="653"/>
      <c r="AJ14" s="653"/>
      <c r="AK14" s="653"/>
      <c r="AL14" s="653"/>
      <c r="AM14" s="653"/>
      <c r="AN14" s="653"/>
      <c r="AO14" s="653"/>
      <c r="AP14" s="653"/>
      <c r="AQ14" s="653"/>
      <c r="AR14" s="653"/>
      <c r="AS14" s="653"/>
      <c r="AT14" s="653"/>
      <c r="AU14" s="653"/>
      <c r="AV14" s="653"/>
    </row>
    <row r="15" spans="1:48" s="679" customFormat="1" ht="21.5" thickBot="1" x14ac:dyDescent="0.4">
      <c r="B15" s="784"/>
      <c r="C15" s="707"/>
      <c r="D15" s="708"/>
      <c r="E15" s="709"/>
      <c r="F15" s="708"/>
      <c r="G15" s="710"/>
      <c r="H15" s="711" t="s">
        <v>660</v>
      </c>
      <c r="I15" s="712" t="s">
        <v>648</v>
      </c>
      <c r="J15" s="713" t="s">
        <v>652</v>
      </c>
      <c r="K15" s="714" t="s">
        <v>313</v>
      </c>
      <c r="L15" s="715" t="s">
        <v>308</v>
      </c>
      <c r="M15" s="716" t="s">
        <v>654</v>
      </c>
      <c r="N15" s="716" t="s">
        <v>653</v>
      </c>
      <c r="O15" s="716" t="s">
        <v>649</v>
      </c>
      <c r="P15" s="717" t="s">
        <v>652</v>
      </c>
      <c r="Q15" s="707"/>
      <c r="R15" s="718"/>
      <c r="S15" s="719" t="s">
        <v>663</v>
      </c>
      <c r="T15" s="720" t="s">
        <v>648</v>
      </c>
      <c r="U15" s="721" t="s">
        <v>652</v>
      </c>
      <c r="V15" s="722" t="s">
        <v>657</v>
      </c>
      <c r="W15" s="722" t="s">
        <v>650</v>
      </c>
      <c r="X15" s="698"/>
      <c r="Y15" s="698"/>
      <c r="Z15" s="698"/>
      <c r="AA15" s="785"/>
      <c r="AB15" s="653"/>
      <c r="AC15" s="653"/>
      <c r="AD15" s="653"/>
      <c r="AE15" s="653"/>
      <c r="AF15" s="653"/>
      <c r="AG15" s="653"/>
      <c r="AH15" s="653"/>
      <c r="AI15" s="653"/>
      <c r="AJ15" s="653"/>
      <c r="AK15" s="653"/>
      <c r="AL15" s="653"/>
      <c r="AM15" s="653"/>
      <c r="AN15" s="653"/>
      <c r="AO15" s="653"/>
      <c r="AP15" s="653"/>
      <c r="AQ15" s="653"/>
      <c r="AR15" s="653"/>
      <c r="AS15" s="653"/>
      <c r="AT15" s="653"/>
      <c r="AU15" s="653"/>
      <c r="AV15" s="653"/>
    </row>
    <row r="16" spans="1:48" s="679" customFormat="1" x14ac:dyDescent="0.35">
      <c r="B16" s="784"/>
      <c r="C16" s="658">
        <v>0</v>
      </c>
      <c r="D16" s="659"/>
      <c r="E16" s="659"/>
      <c r="F16" s="659">
        <v>1</v>
      </c>
      <c r="G16" s="659">
        <v>0</v>
      </c>
      <c r="H16" s="659">
        <v>0</v>
      </c>
      <c r="I16" s="723">
        <f>IF(G16=0,0,IF(G16=1,IF(H16&gt;11,$I$13,$I$14),IF(G16=2,2*$I$13,2*$I$13+(G16-2)*$I$12)))</f>
        <v>0</v>
      </c>
      <c r="J16" s="724">
        <f>I16*F16</f>
        <v>0</v>
      </c>
      <c r="K16" s="659">
        <v>0</v>
      </c>
      <c r="L16" s="723">
        <f>L$13+(F16-1)*L$14</f>
        <v>0.3</v>
      </c>
      <c r="M16" s="660">
        <v>0</v>
      </c>
      <c r="N16" s="660">
        <v>0</v>
      </c>
      <c r="O16" s="660">
        <v>0</v>
      </c>
      <c r="P16" s="725">
        <f>L16*2*K16+F16*(M16+N16+O16)</f>
        <v>0</v>
      </c>
      <c r="Q16" s="659" t="s">
        <v>304</v>
      </c>
      <c r="R16" s="723">
        <f>IF(Q16=$Q$12,$R$12,IF(Q16=$Q$13,$R$13,$R$14))</f>
        <v>80</v>
      </c>
      <c r="S16" s="724">
        <f>IF(G16&gt;0,F16*(G16-1)*R16,0)</f>
        <v>0</v>
      </c>
      <c r="T16" s="660">
        <v>0</v>
      </c>
      <c r="U16" s="724">
        <f>T16*F16</f>
        <v>0</v>
      </c>
      <c r="V16" s="660">
        <v>0</v>
      </c>
      <c r="W16" s="726">
        <f>V16+U16+S16+P16+J16</f>
        <v>0</v>
      </c>
      <c r="X16" s="698"/>
      <c r="Y16" s="698"/>
      <c r="Z16" s="698"/>
      <c r="AA16" s="785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653"/>
      <c r="AQ16" s="653"/>
      <c r="AR16" s="653"/>
      <c r="AS16" s="653"/>
      <c r="AT16" s="653"/>
      <c r="AU16" s="653"/>
      <c r="AV16" s="653"/>
    </row>
    <row r="17" spans="2:48" s="679" customFormat="1" x14ac:dyDescent="0.35">
      <c r="B17" s="784"/>
      <c r="C17" s="661">
        <v>0</v>
      </c>
      <c r="D17" s="654"/>
      <c r="E17" s="654"/>
      <c r="F17" s="654">
        <v>1</v>
      </c>
      <c r="G17" s="654">
        <v>0</v>
      </c>
      <c r="H17" s="654">
        <v>0</v>
      </c>
      <c r="I17" s="727">
        <f>IF(G17=0,0,IF(G17=1,IF(H17&gt;11,$I$13,$I$14),IF(G17=2,2*$I$13,2*$I$13+(G17-2)*$I$12)))</f>
        <v>0</v>
      </c>
      <c r="J17" s="728">
        <f>I17*F17</f>
        <v>0</v>
      </c>
      <c r="K17" s="654">
        <v>0</v>
      </c>
      <c r="L17" s="727">
        <f>L$13+(F17-1)*L$14</f>
        <v>0.3</v>
      </c>
      <c r="M17" s="655">
        <v>0</v>
      </c>
      <c r="N17" s="655">
        <v>0</v>
      </c>
      <c r="O17" s="655">
        <v>0</v>
      </c>
      <c r="P17" s="729">
        <f>L17*2*K17+F17*(M17+N17+O17)</f>
        <v>0</v>
      </c>
      <c r="Q17" s="654" t="s">
        <v>304</v>
      </c>
      <c r="R17" s="727">
        <f>IF(Q17=$Q$12,$R$12,IF(Q17=$Q$13,$R$13,$R$14))</f>
        <v>80</v>
      </c>
      <c r="S17" s="728">
        <f>IF(G17&gt;0,F17*(G17-1)*R17,0)</f>
        <v>0</v>
      </c>
      <c r="T17" s="655">
        <v>0</v>
      </c>
      <c r="U17" s="728">
        <f>T17*F17</f>
        <v>0</v>
      </c>
      <c r="V17" s="655">
        <v>0</v>
      </c>
      <c r="W17" s="730">
        <f>V17+U17+S17+P17+J17</f>
        <v>0</v>
      </c>
      <c r="X17" s="698"/>
      <c r="Y17" s="698"/>
      <c r="Z17" s="698"/>
      <c r="AA17" s="785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653"/>
      <c r="AS17" s="653"/>
      <c r="AT17" s="653"/>
      <c r="AU17" s="653"/>
      <c r="AV17" s="653"/>
    </row>
    <row r="18" spans="2:48" s="679" customFormat="1" x14ac:dyDescent="0.35">
      <c r="B18" s="784"/>
      <c r="C18" s="661">
        <v>0</v>
      </c>
      <c r="D18" s="654"/>
      <c r="E18" s="654"/>
      <c r="F18" s="654">
        <v>1</v>
      </c>
      <c r="G18" s="654">
        <v>0</v>
      </c>
      <c r="H18" s="654">
        <v>0</v>
      </c>
      <c r="I18" s="727">
        <f t="shared" ref="I18:I31" si="0">IF(G18=0,0,IF(G18=1,IF(H18&gt;11,$I$13,$I$14),IF(G18=2,2*$I$13,2*$I$13+(G18-2)*$I$12)))</f>
        <v>0</v>
      </c>
      <c r="J18" s="728">
        <f t="shared" ref="J18:J31" si="1">I18*F18</f>
        <v>0</v>
      </c>
      <c r="K18" s="654">
        <v>0</v>
      </c>
      <c r="L18" s="727">
        <f t="shared" ref="L18:L31" si="2">L$13+(F18-1)*L$14</f>
        <v>0.3</v>
      </c>
      <c r="M18" s="655">
        <v>0</v>
      </c>
      <c r="N18" s="655">
        <v>0</v>
      </c>
      <c r="O18" s="655">
        <v>0</v>
      </c>
      <c r="P18" s="729">
        <f t="shared" ref="P18:P31" si="3">L18*2*K18+F18*(M18+N18+O18)</f>
        <v>0</v>
      </c>
      <c r="Q18" s="654" t="s">
        <v>304</v>
      </c>
      <c r="R18" s="727">
        <f t="shared" ref="R18:R36" si="4">IF(Q18=$Q$12,$R$12,IF(Q18=$Q$13,$R$13,$R$14))</f>
        <v>80</v>
      </c>
      <c r="S18" s="728">
        <f t="shared" ref="S18:S31" si="5">IF(G18&gt;0,F18*(G18-1)*R18,0)</f>
        <v>0</v>
      </c>
      <c r="T18" s="655">
        <v>0</v>
      </c>
      <c r="U18" s="728">
        <f t="shared" ref="U18:U31" si="6">T18*F18</f>
        <v>0</v>
      </c>
      <c r="V18" s="655">
        <v>0</v>
      </c>
      <c r="W18" s="730">
        <f t="shared" ref="W18:W31" si="7">V18+U18+S18+P18+J18</f>
        <v>0</v>
      </c>
      <c r="X18" s="698"/>
      <c r="Y18" s="698"/>
      <c r="Z18" s="698"/>
      <c r="AA18" s="785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653"/>
      <c r="AM18" s="653"/>
      <c r="AN18" s="653"/>
      <c r="AO18" s="653"/>
      <c r="AP18" s="653"/>
      <c r="AQ18" s="653"/>
      <c r="AR18" s="653"/>
      <c r="AS18" s="653"/>
      <c r="AT18" s="653"/>
      <c r="AU18" s="653"/>
      <c r="AV18" s="653"/>
    </row>
    <row r="19" spans="2:48" s="679" customFormat="1" x14ac:dyDescent="0.35">
      <c r="B19" s="784"/>
      <c r="C19" s="661">
        <v>0</v>
      </c>
      <c r="D19" s="654"/>
      <c r="E19" s="654"/>
      <c r="F19" s="654">
        <v>1</v>
      </c>
      <c r="G19" s="654">
        <v>0</v>
      </c>
      <c r="H19" s="654">
        <v>0</v>
      </c>
      <c r="I19" s="727">
        <f t="shared" si="0"/>
        <v>0</v>
      </c>
      <c r="J19" s="728">
        <f t="shared" si="1"/>
        <v>0</v>
      </c>
      <c r="K19" s="654">
        <v>0</v>
      </c>
      <c r="L19" s="727">
        <f t="shared" si="2"/>
        <v>0.3</v>
      </c>
      <c r="M19" s="655">
        <v>0</v>
      </c>
      <c r="N19" s="655">
        <v>0</v>
      </c>
      <c r="O19" s="655">
        <v>0</v>
      </c>
      <c r="P19" s="729">
        <f t="shared" si="3"/>
        <v>0</v>
      </c>
      <c r="Q19" s="654" t="s">
        <v>304</v>
      </c>
      <c r="R19" s="727">
        <f t="shared" si="4"/>
        <v>80</v>
      </c>
      <c r="S19" s="728">
        <f t="shared" si="5"/>
        <v>0</v>
      </c>
      <c r="T19" s="655">
        <v>0</v>
      </c>
      <c r="U19" s="728">
        <f t="shared" si="6"/>
        <v>0</v>
      </c>
      <c r="V19" s="655">
        <v>0</v>
      </c>
      <c r="W19" s="730">
        <f t="shared" si="7"/>
        <v>0</v>
      </c>
      <c r="X19" s="698"/>
      <c r="Y19" s="698"/>
      <c r="Z19" s="698"/>
      <c r="AA19" s="785"/>
      <c r="AB19" s="653"/>
      <c r="AC19" s="653"/>
      <c r="AD19" s="653"/>
      <c r="AE19" s="653"/>
      <c r="AF19" s="653"/>
      <c r="AG19" s="653"/>
      <c r="AH19" s="653"/>
      <c r="AI19" s="653"/>
      <c r="AJ19" s="653"/>
      <c r="AK19" s="653"/>
      <c r="AL19" s="653"/>
      <c r="AM19" s="653"/>
      <c r="AN19" s="653"/>
      <c r="AO19" s="653"/>
      <c r="AP19" s="653"/>
      <c r="AQ19" s="653"/>
      <c r="AR19" s="653"/>
      <c r="AS19" s="653"/>
      <c r="AT19" s="653"/>
      <c r="AU19" s="653"/>
      <c r="AV19" s="653"/>
    </row>
    <row r="20" spans="2:48" s="679" customFormat="1" x14ac:dyDescent="0.35">
      <c r="B20" s="784"/>
      <c r="C20" s="661">
        <v>0</v>
      </c>
      <c r="D20" s="654"/>
      <c r="E20" s="654"/>
      <c r="F20" s="654">
        <v>1</v>
      </c>
      <c r="G20" s="654">
        <v>0</v>
      </c>
      <c r="H20" s="654">
        <v>0</v>
      </c>
      <c r="I20" s="727">
        <f t="shared" si="0"/>
        <v>0</v>
      </c>
      <c r="J20" s="728">
        <f t="shared" si="1"/>
        <v>0</v>
      </c>
      <c r="K20" s="654">
        <v>0</v>
      </c>
      <c r="L20" s="727">
        <f t="shared" si="2"/>
        <v>0.3</v>
      </c>
      <c r="M20" s="655">
        <v>0</v>
      </c>
      <c r="N20" s="655">
        <v>0</v>
      </c>
      <c r="O20" s="655">
        <v>0</v>
      </c>
      <c r="P20" s="729">
        <f t="shared" si="3"/>
        <v>0</v>
      </c>
      <c r="Q20" s="654" t="s">
        <v>304</v>
      </c>
      <c r="R20" s="727">
        <f t="shared" si="4"/>
        <v>80</v>
      </c>
      <c r="S20" s="728">
        <f t="shared" si="5"/>
        <v>0</v>
      </c>
      <c r="T20" s="655">
        <v>0</v>
      </c>
      <c r="U20" s="728">
        <f t="shared" si="6"/>
        <v>0</v>
      </c>
      <c r="V20" s="655">
        <v>0</v>
      </c>
      <c r="W20" s="730">
        <f t="shared" si="7"/>
        <v>0</v>
      </c>
      <c r="X20" s="698"/>
      <c r="Y20" s="698"/>
      <c r="Z20" s="698"/>
      <c r="AA20" s="785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653"/>
      <c r="AM20" s="653"/>
      <c r="AN20" s="653"/>
      <c r="AO20" s="653"/>
      <c r="AP20" s="653"/>
      <c r="AQ20" s="653"/>
      <c r="AR20" s="653"/>
      <c r="AS20" s="653"/>
      <c r="AT20" s="653"/>
      <c r="AU20" s="653"/>
      <c r="AV20" s="653"/>
    </row>
    <row r="21" spans="2:48" s="679" customFormat="1" x14ac:dyDescent="0.35">
      <c r="B21" s="784"/>
      <c r="C21" s="661">
        <v>0</v>
      </c>
      <c r="D21" s="654"/>
      <c r="E21" s="654"/>
      <c r="F21" s="654">
        <v>1</v>
      </c>
      <c r="G21" s="654">
        <v>0</v>
      </c>
      <c r="H21" s="654">
        <v>0</v>
      </c>
      <c r="I21" s="727">
        <f t="shared" si="0"/>
        <v>0</v>
      </c>
      <c r="J21" s="728">
        <f t="shared" si="1"/>
        <v>0</v>
      </c>
      <c r="K21" s="654">
        <v>0</v>
      </c>
      <c r="L21" s="727">
        <f t="shared" si="2"/>
        <v>0.3</v>
      </c>
      <c r="M21" s="655">
        <v>0</v>
      </c>
      <c r="N21" s="655">
        <v>0</v>
      </c>
      <c r="O21" s="655">
        <v>0</v>
      </c>
      <c r="P21" s="729">
        <f t="shared" si="3"/>
        <v>0</v>
      </c>
      <c r="Q21" s="654" t="s">
        <v>304</v>
      </c>
      <c r="R21" s="727">
        <f t="shared" si="4"/>
        <v>80</v>
      </c>
      <c r="S21" s="728">
        <f t="shared" si="5"/>
        <v>0</v>
      </c>
      <c r="T21" s="655">
        <v>0</v>
      </c>
      <c r="U21" s="728">
        <f t="shared" si="6"/>
        <v>0</v>
      </c>
      <c r="V21" s="655">
        <v>0</v>
      </c>
      <c r="W21" s="730">
        <f t="shared" si="7"/>
        <v>0</v>
      </c>
      <c r="X21" s="698"/>
      <c r="Y21" s="698"/>
      <c r="Z21" s="698"/>
      <c r="AA21" s="785"/>
      <c r="AB21" s="653"/>
      <c r="AC21" s="653"/>
      <c r="AD21" s="653"/>
      <c r="AE21" s="653"/>
      <c r="AF21" s="653"/>
      <c r="AG21" s="653"/>
      <c r="AH21" s="653"/>
      <c r="AI21" s="653"/>
      <c r="AJ21" s="653"/>
      <c r="AK21" s="653"/>
      <c r="AL21" s="653"/>
      <c r="AM21" s="653"/>
      <c r="AN21" s="653"/>
      <c r="AO21" s="653"/>
      <c r="AP21" s="653"/>
      <c r="AQ21" s="653"/>
      <c r="AR21" s="653"/>
      <c r="AS21" s="653"/>
      <c r="AT21" s="653"/>
      <c r="AU21" s="653"/>
      <c r="AV21" s="653"/>
    </row>
    <row r="22" spans="2:48" s="679" customFormat="1" x14ac:dyDescent="0.35">
      <c r="B22" s="784"/>
      <c r="C22" s="661">
        <v>0</v>
      </c>
      <c r="D22" s="654"/>
      <c r="E22" s="654"/>
      <c r="F22" s="654">
        <v>1</v>
      </c>
      <c r="G22" s="654">
        <v>0</v>
      </c>
      <c r="H22" s="654">
        <v>0</v>
      </c>
      <c r="I22" s="727">
        <f t="shared" si="0"/>
        <v>0</v>
      </c>
      <c r="J22" s="728">
        <f t="shared" si="1"/>
        <v>0</v>
      </c>
      <c r="K22" s="654">
        <v>0</v>
      </c>
      <c r="L22" s="727">
        <f t="shared" si="2"/>
        <v>0.3</v>
      </c>
      <c r="M22" s="655">
        <v>0</v>
      </c>
      <c r="N22" s="655">
        <v>0</v>
      </c>
      <c r="O22" s="655">
        <v>0</v>
      </c>
      <c r="P22" s="729">
        <f t="shared" si="3"/>
        <v>0</v>
      </c>
      <c r="Q22" s="654" t="s">
        <v>304</v>
      </c>
      <c r="R22" s="727">
        <f t="shared" si="4"/>
        <v>80</v>
      </c>
      <c r="S22" s="728">
        <f t="shared" si="5"/>
        <v>0</v>
      </c>
      <c r="T22" s="655">
        <v>0</v>
      </c>
      <c r="U22" s="728">
        <f t="shared" si="6"/>
        <v>0</v>
      </c>
      <c r="V22" s="655">
        <v>0</v>
      </c>
      <c r="W22" s="730">
        <f t="shared" si="7"/>
        <v>0</v>
      </c>
      <c r="X22" s="698"/>
      <c r="Y22" s="698"/>
      <c r="Z22" s="698"/>
      <c r="AA22" s="785"/>
      <c r="AB22" s="653"/>
      <c r="AC22" s="653"/>
      <c r="AD22" s="653"/>
      <c r="AE22" s="653"/>
      <c r="AF22" s="653"/>
      <c r="AG22" s="653"/>
      <c r="AH22" s="653"/>
      <c r="AI22" s="653"/>
      <c r="AJ22" s="653"/>
      <c r="AK22" s="653"/>
      <c r="AL22" s="653"/>
      <c r="AM22" s="653"/>
      <c r="AN22" s="653"/>
      <c r="AO22" s="653"/>
      <c r="AP22" s="653"/>
      <c r="AQ22" s="653"/>
      <c r="AR22" s="653"/>
      <c r="AS22" s="653"/>
      <c r="AT22" s="653"/>
      <c r="AU22" s="653"/>
      <c r="AV22" s="653"/>
    </row>
    <row r="23" spans="2:48" s="679" customFormat="1" x14ac:dyDescent="0.35">
      <c r="B23" s="784"/>
      <c r="C23" s="661">
        <v>0</v>
      </c>
      <c r="D23" s="654"/>
      <c r="E23" s="654"/>
      <c r="F23" s="654">
        <v>1</v>
      </c>
      <c r="G23" s="654">
        <v>0</v>
      </c>
      <c r="H23" s="654">
        <v>0</v>
      </c>
      <c r="I23" s="727">
        <f t="shared" si="0"/>
        <v>0</v>
      </c>
      <c r="J23" s="728">
        <f t="shared" si="1"/>
        <v>0</v>
      </c>
      <c r="K23" s="654">
        <v>0</v>
      </c>
      <c r="L23" s="727">
        <f t="shared" si="2"/>
        <v>0.3</v>
      </c>
      <c r="M23" s="655">
        <v>0</v>
      </c>
      <c r="N23" s="655">
        <v>0</v>
      </c>
      <c r="O23" s="655">
        <v>0</v>
      </c>
      <c r="P23" s="729">
        <f t="shared" si="3"/>
        <v>0</v>
      </c>
      <c r="Q23" s="654" t="s">
        <v>304</v>
      </c>
      <c r="R23" s="727">
        <f t="shared" si="4"/>
        <v>80</v>
      </c>
      <c r="S23" s="728">
        <f t="shared" si="5"/>
        <v>0</v>
      </c>
      <c r="T23" s="655">
        <v>0</v>
      </c>
      <c r="U23" s="728">
        <f t="shared" si="6"/>
        <v>0</v>
      </c>
      <c r="V23" s="655">
        <v>0</v>
      </c>
      <c r="W23" s="730">
        <f t="shared" si="7"/>
        <v>0</v>
      </c>
      <c r="X23" s="698"/>
      <c r="Y23" s="698"/>
      <c r="Z23" s="698"/>
      <c r="AA23" s="785"/>
      <c r="AB23" s="653"/>
      <c r="AC23" s="653"/>
      <c r="AD23" s="653"/>
      <c r="AE23" s="653"/>
      <c r="AF23" s="653"/>
      <c r="AG23" s="653"/>
      <c r="AH23" s="653"/>
      <c r="AI23" s="653"/>
      <c r="AJ23" s="653"/>
      <c r="AK23" s="653"/>
      <c r="AL23" s="653"/>
      <c r="AM23" s="653"/>
      <c r="AN23" s="653"/>
      <c r="AO23" s="653"/>
      <c r="AP23" s="653"/>
      <c r="AQ23" s="653"/>
      <c r="AR23" s="653"/>
      <c r="AS23" s="653"/>
      <c r="AT23" s="653"/>
      <c r="AU23" s="653"/>
      <c r="AV23" s="653"/>
    </row>
    <row r="24" spans="2:48" s="679" customFormat="1" x14ac:dyDescent="0.35">
      <c r="B24" s="784"/>
      <c r="C24" s="661">
        <v>0</v>
      </c>
      <c r="D24" s="654"/>
      <c r="E24" s="654"/>
      <c r="F24" s="654">
        <v>1</v>
      </c>
      <c r="G24" s="654">
        <v>0</v>
      </c>
      <c r="H24" s="654">
        <v>0</v>
      </c>
      <c r="I24" s="727">
        <f t="shared" si="0"/>
        <v>0</v>
      </c>
      <c r="J24" s="728">
        <f t="shared" si="1"/>
        <v>0</v>
      </c>
      <c r="K24" s="654">
        <v>0</v>
      </c>
      <c r="L24" s="727">
        <f t="shared" si="2"/>
        <v>0.3</v>
      </c>
      <c r="M24" s="655">
        <v>0</v>
      </c>
      <c r="N24" s="655">
        <v>0</v>
      </c>
      <c r="O24" s="655">
        <v>0</v>
      </c>
      <c r="P24" s="729">
        <f t="shared" si="3"/>
        <v>0</v>
      </c>
      <c r="Q24" s="654" t="s">
        <v>304</v>
      </c>
      <c r="R24" s="727">
        <f t="shared" si="4"/>
        <v>80</v>
      </c>
      <c r="S24" s="728">
        <f t="shared" si="5"/>
        <v>0</v>
      </c>
      <c r="T24" s="655">
        <v>0</v>
      </c>
      <c r="U24" s="728">
        <f t="shared" si="6"/>
        <v>0</v>
      </c>
      <c r="V24" s="655">
        <v>0</v>
      </c>
      <c r="W24" s="730">
        <f t="shared" si="7"/>
        <v>0</v>
      </c>
      <c r="X24" s="698"/>
      <c r="Y24" s="698"/>
      <c r="Z24" s="698"/>
      <c r="AA24" s="785"/>
      <c r="AB24" s="653"/>
      <c r="AC24" s="653"/>
      <c r="AD24" s="653"/>
      <c r="AE24" s="653"/>
      <c r="AF24" s="653"/>
      <c r="AG24" s="653"/>
      <c r="AH24" s="653"/>
      <c r="AI24" s="653"/>
      <c r="AJ24" s="653"/>
      <c r="AK24" s="653"/>
      <c r="AL24" s="653"/>
      <c r="AM24" s="653"/>
      <c r="AN24" s="653"/>
      <c r="AO24" s="653"/>
      <c r="AP24" s="653"/>
      <c r="AQ24" s="653"/>
      <c r="AR24" s="653"/>
      <c r="AS24" s="653"/>
      <c r="AT24" s="653"/>
      <c r="AU24" s="653"/>
      <c r="AV24" s="653"/>
    </row>
    <row r="25" spans="2:48" s="679" customFormat="1" x14ac:dyDescent="0.35">
      <c r="B25" s="784"/>
      <c r="C25" s="661">
        <v>0</v>
      </c>
      <c r="D25" s="654"/>
      <c r="E25" s="654"/>
      <c r="F25" s="654">
        <v>1</v>
      </c>
      <c r="G25" s="654">
        <v>0</v>
      </c>
      <c r="H25" s="654">
        <v>0</v>
      </c>
      <c r="I25" s="727">
        <f t="shared" ref="I25:I30" si="8">IF(G25=0,0,IF(G25=1,IF(H25&gt;11,$I$13,$I$14),IF(G25=2,2*$I$13,2*$I$13+(G25-2)*$I$12)))</f>
        <v>0</v>
      </c>
      <c r="J25" s="728">
        <f t="shared" ref="J25:J30" si="9">I25*F25</f>
        <v>0</v>
      </c>
      <c r="K25" s="654">
        <v>0</v>
      </c>
      <c r="L25" s="727">
        <f t="shared" ref="L25:L30" si="10">L$13+(F25-1)*L$14</f>
        <v>0.3</v>
      </c>
      <c r="M25" s="655">
        <v>0</v>
      </c>
      <c r="N25" s="655">
        <v>0</v>
      </c>
      <c r="O25" s="655">
        <v>0</v>
      </c>
      <c r="P25" s="729">
        <f t="shared" ref="P25:P30" si="11">L25*2*K25+F25*(M25+N25+O25)</f>
        <v>0</v>
      </c>
      <c r="Q25" s="654" t="s">
        <v>304</v>
      </c>
      <c r="R25" s="727">
        <f t="shared" si="4"/>
        <v>80</v>
      </c>
      <c r="S25" s="728">
        <f t="shared" ref="S25:S30" si="12">IF(G25&gt;0,F25*(G25-1)*R25,0)</f>
        <v>0</v>
      </c>
      <c r="T25" s="655">
        <v>0</v>
      </c>
      <c r="U25" s="728">
        <f t="shared" ref="U25:U30" si="13">T25*F25</f>
        <v>0</v>
      </c>
      <c r="V25" s="655">
        <v>0</v>
      </c>
      <c r="W25" s="730">
        <f t="shared" ref="W25:W30" si="14">V25+U25+S25+P25+J25</f>
        <v>0</v>
      </c>
      <c r="X25" s="698"/>
      <c r="Y25" s="698"/>
      <c r="Z25" s="698"/>
      <c r="AA25" s="785"/>
      <c r="AB25" s="653"/>
      <c r="AC25" s="653"/>
      <c r="AD25" s="653"/>
      <c r="AE25" s="653"/>
      <c r="AF25" s="653"/>
      <c r="AG25" s="653"/>
      <c r="AH25" s="653"/>
      <c r="AI25" s="653"/>
      <c r="AJ25" s="653"/>
      <c r="AK25" s="653"/>
      <c r="AL25" s="653"/>
      <c r="AM25" s="653"/>
      <c r="AN25" s="653"/>
      <c r="AO25" s="653"/>
      <c r="AP25" s="653"/>
      <c r="AQ25" s="653"/>
      <c r="AR25" s="653"/>
      <c r="AS25" s="653"/>
      <c r="AT25" s="653"/>
      <c r="AU25" s="653"/>
      <c r="AV25" s="653"/>
    </row>
    <row r="26" spans="2:48" s="679" customFormat="1" x14ac:dyDescent="0.35">
      <c r="B26" s="784"/>
      <c r="C26" s="661">
        <v>0</v>
      </c>
      <c r="D26" s="654"/>
      <c r="E26" s="654"/>
      <c r="F26" s="654">
        <v>1</v>
      </c>
      <c r="G26" s="654">
        <v>0</v>
      </c>
      <c r="H26" s="654">
        <v>0</v>
      </c>
      <c r="I26" s="727">
        <f t="shared" si="8"/>
        <v>0</v>
      </c>
      <c r="J26" s="728">
        <f t="shared" si="9"/>
        <v>0</v>
      </c>
      <c r="K26" s="654">
        <v>0</v>
      </c>
      <c r="L26" s="727">
        <f t="shared" si="10"/>
        <v>0.3</v>
      </c>
      <c r="M26" s="655">
        <v>0</v>
      </c>
      <c r="N26" s="655">
        <v>0</v>
      </c>
      <c r="O26" s="655">
        <v>0</v>
      </c>
      <c r="P26" s="729">
        <f t="shared" si="11"/>
        <v>0</v>
      </c>
      <c r="Q26" s="654" t="s">
        <v>304</v>
      </c>
      <c r="R26" s="727">
        <f t="shared" si="4"/>
        <v>80</v>
      </c>
      <c r="S26" s="728">
        <f t="shared" si="12"/>
        <v>0</v>
      </c>
      <c r="T26" s="655">
        <v>0</v>
      </c>
      <c r="U26" s="728">
        <f t="shared" si="13"/>
        <v>0</v>
      </c>
      <c r="V26" s="655">
        <v>0</v>
      </c>
      <c r="W26" s="730">
        <f t="shared" si="14"/>
        <v>0</v>
      </c>
      <c r="X26" s="698"/>
      <c r="Y26" s="698"/>
      <c r="Z26" s="698"/>
      <c r="AA26" s="785"/>
      <c r="AB26" s="653"/>
      <c r="AC26" s="653"/>
      <c r="AD26" s="653"/>
      <c r="AE26" s="653"/>
      <c r="AF26" s="653"/>
      <c r="AG26" s="653"/>
      <c r="AH26" s="653"/>
      <c r="AI26" s="653"/>
      <c r="AJ26" s="653"/>
      <c r="AK26" s="653"/>
      <c r="AL26" s="653"/>
      <c r="AM26" s="653"/>
      <c r="AN26" s="653"/>
      <c r="AO26" s="653"/>
      <c r="AP26" s="653"/>
      <c r="AQ26" s="653"/>
      <c r="AR26" s="653"/>
      <c r="AS26" s="653"/>
      <c r="AT26" s="653"/>
      <c r="AU26" s="653"/>
      <c r="AV26" s="653"/>
    </row>
    <row r="27" spans="2:48" x14ac:dyDescent="0.35">
      <c r="B27" s="303"/>
      <c r="C27" s="661">
        <v>0</v>
      </c>
      <c r="D27" s="654"/>
      <c r="E27" s="654"/>
      <c r="F27" s="654">
        <v>1</v>
      </c>
      <c r="G27" s="654">
        <v>0</v>
      </c>
      <c r="H27" s="654">
        <v>0</v>
      </c>
      <c r="I27" s="727">
        <f t="shared" si="8"/>
        <v>0</v>
      </c>
      <c r="J27" s="728">
        <f t="shared" si="9"/>
        <v>0</v>
      </c>
      <c r="K27" s="654">
        <v>0</v>
      </c>
      <c r="L27" s="727">
        <f t="shared" si="10"/>
        <v>0.3</v>
      </c>
      <c r="M27" s="655">
        <v>0</v>
      </c>
      <c r="N27" s="655">
        <v>0</v>
      </c>
      <c r="O27" s="655">
        <v>0</v>
      </c>
      <c r="P27" s="729">
        <f t="shared" si="11"/>
        <v>0</v>
      </c>
      <c r="Q27" s="654" t="s">
        <v>304</v>
      </c>
      <c r="R27" s="727">
        <f t="shared" si="4"/>
        <v>80</v>
      </c>
      <c r="S27" s="728">
        <f t="shared" si="12"/>
        <v>0</v>
      </c>
      <c r="T27" s="655">
        <v>0</v>
      </c>
      <c r="U27" s="728">
        <f t="shared" si="13"/>
        <v>0</v>
      </c>
      <c r="V27" s="655">
        <v>0</v>
      </c>
      <c r="W27" s="730">
        <f t="shared" si="14"/>
        <v>0</v>
      </c>
      <c r="X27" s="307"/>
      <c r="Y27" s="307"/>
      <c r="Z27" s="307"/>
      <c r="AA27" s="37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</row>
    <row r="28" spans="2:48" x14ac:dyDescent="0.35">
      <c r="B28" s="303"/>
      <c r="C28" s="661">
        <v>0</v>
      </c>
      <c r="D28" s="654"/>
      <c r="E28" s="654"/>
      <c r="F28" s="654">
        <v>1</v>
      </c>
      <c r="G28" s="654">
        <v>0</v>
      </c>
      <c r="H28" s="654">
        <v>0</v>
      </c>
      <c r="I28" s="727">
        <f t="shared" si="8"/>
        <v>0</v>
      </c>
      <c r="J28" s="728">
        <f t="shared" si="9"/>
        <v>0</v>
      </c>
      <c r="K28" s="654">
        <v>0</v>
      </c>
      <c r="L28" s="727">
        <f t="shared" si="10"/>
        <v>0.3</v>
      </c>
      <c r="M28" s="655">
        <v>0</v>
      </c>
      <c r="N28" s="655">
        <v>0</v>
      </c>
      <c r="O28" s="655">
        <v>0</v>
      </c>
      <c r="P28" s="729">
        <f t="shared" si="11"/>
        <v>0</v>
      </c>
      <c r="Q28" s="654" t="s">
        <v>304</v>
      </c>
      <c r="R28" s="727">
        <f t="shared" si="4"/>
        <v>80</v>
      </c>
      <c r="S28" s="728">
        <f t="shared" si="12"/>
        <v>0</v>
      </c>
      <c r="T28" s="655">
        <v>0</v>
      </c>
      <c r="U28" s="728">
        <f t="shared" si="13"/>
        <v>0</v>
      </c>
      <c r="V28" s="655">
        <v>0</v>
      </c>
      <c r="W28" s="730">
        <f t="shared" si="14"/>
        <v>0</v>
      </c>
      <c r="X28" s="307"/>
      <c r="Y28" s="307"/>
      <c r="Z28" s="307"/>
      <c r="AA28" s="37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</row>
    <row r="29" spans="2:48" x14ac:dyDescent="0.35">
      <c r="B29" s="303"/>
      <c r="C29" s="661">
        <v>0</v>
      </c>
      <c r="D29" s="654"/>
      <c r="E29" s="654"/>
      <c r="F29" s="654">
        <v>1</v>
      </c>
      <c r="G29" s="654">
        <v>0</v>
      </c>
      <c r="H29" s="654">
        <v>0</v>
      </c>
      <c r="I29" s="727">
        <f t="shared" si="8"/>
        <v>0</v>
      </c>
      <c r="J29" s="728">
        <f t="shared" si="9"/>
        <v>0</v>
      </c>
      <c r="K29" s="654">
        <v>0</v>
      </c>
      <c r="L29" s="727">
        <f t="shared" si="10"/>
        <v>0.3</v>
      </c>
      <c r="M29" s="655">
        <v>0</v>
      </c>
      <c r="N29" s="655">
        <v>0</v>
      </c>
      <c r="O29" s="655">
        <v>0</v>
      </c>
      <c r="P29" s="729">
        <f t="shared" si="11"/>
        <v>0</v>
      </c>
      <c r="Q29" s="654" t="s">
        <v>304</v>
      </c>
      <c r="R29" s="727">
        <f t="shared" si="4"/>
        <v>80</v>
      </c>
      <c r="S29" s="728">
        <f t="shared" si="12"/>
        <v>0</v>
      </c>
      <c r="T29" s="655">
        <v>0</v>
      </c>
      <c r="U29" s="728">
        <f t="shared" si="13"/>
        <v>0</v>
      </c>
      <c r="V29" s="655">
        <v>0</v>
      </c>
      <c r="W29" s="730">
        <f t="shared" si="14"/>
        <v>0</v>
      </c>
      <c r="X29" s="307"/>
      <c r="Y29" s="307"/>
      <c r="Z29" s="307"/>
      <c r="AA29" s="37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</row>
    <row r="30" spans="2:48" x14ac:dyDescent="0.35">
      <c r="B30" s="303"/>
      <c r="C30" s="666">
        <v>0</v>
      </c>
      <c r="D30" s="656"/>
      <c r="E30" s="656"/>
      <c r="F30" s="656">
        <v>1</v>
      </c>
      <c r="G30" s="656">
        <v>0</v>
      </c>
      <c r="H30" s="656">
        <v>0</v>
      </c>
      <c r="I30" s="731">
        <f t="shared" si="8"/>
        <v>0</v>
      </c>
      <c r="J30" s="732">
        <f t="shared" si="9"/>
        <v>0</v>
      </c>
      <c r="K30" s="656">
        <v>0</v>
      </c>
      <c r="L30" s="731">
        <f t="shared" si="10"/>
        <v>0.3</v>
      </c>
      <c r="M30" s="657">
        <v>0</v>
      </c>
      <c r="N30" s="657">
        <v>0</v>
      </c>
      <c r="O30" s="657">
        <v>0</v>
      </c>
      <c r="P30" s="733">
        <f t="shared" si="11"/>
        <v>0</v>
      </c>
      <c r="Q30" s="656" t="s">
        <v>304</v>
      </c>
      <c r="R30" s="731">
        <f t="shared" si="4"/>
        <v>80</v>
      </c>
      <c r="S30" s="732">
        <f t="shared" si="12"/>
        <v>0</v>
      </c>
      <c r="T30" s="657">
        <v>0</v>
      </c>
      <c r="U30" s="732">
        <f t="shared" si="13"/>
        <v>0</v>
      </c>
      <c r="V30" s="657">
        <v>0</v>
      </c>
      <c r="W30" s="734">
        <f t="shared" si="14"/>
        <v>0</v>
      </c>
      <c r="X30" s="307"/>
      <c r="Y30" s="307"/>
      <c r="Z30" s="307"/>
      <c r="AA30" s="37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</row>
    <row r="31" spans="2:48" s="679" customFormat="1" x14ac:dyDescent="0.35">
      <c r="B31" s="784"/>
      <c r="C31" s="661">
        <v>0</v>
      </c>
      <c r="D31" s="654"/>
      <c r="E31" s="654"/>
      <c r="F31" s="654">
        <v>1</v>
      </c>
      <c r="G31" s="654">
        <v>0</v>
      </c>
      <c r="H31" s="654">
        <v>0</v>
      </c>
      <c r="I31" s="727">
        <f t="shared" si="0"/>
        <v>0</v>
      </c>
      <c r="J31" s="728">
        <f t="shared" si="1"/>
        <v>0</v>
      </c>
      <c r="K31" s="654">
        <v>0</v>
      </c>
      <c r="L31" s="727">
        <f t="shared" si="2"/>
        <v>0.3</v>
      </c>
      <c r="M31" s="655">
        <v>0</v>
      </c>
      <c r="N31" s="655">
        <v>0</v>
      </c>
      <c r="O31" s="655">
        <v>0</v>
      </c>
      <c r="P31" s="729">
        <f t="shared" si="3"/>
        <v>0</v>
      </c>
      <c r="Q31" s="654" t="s">
        <v>304</v>
      </c>
      <c r="R31" s="727">
        <f t="shared" si="4"/>
        <v>80</v>
      </c>
      <c r="S31" s="728">
        <f t="shared" si="5"/>
        <v>0</v>
      </c>
      <c r="T31" s="655">
        <v>0</v>
      </c>
      <c r="U31" s="728">
        <f t="shared" si="6"/>
        <v>0</v>
      </c>
      <c r="V31" s="655">
        <v>0</v>
      </c>
      <c r="W31" s="730">
        <f t="shared" si="7"/>
        <v>0</v>
      </c>
      <c r="X31" s="698"/>
      <c r="Y31" s="698"/>
      <c r="Z31" s="698"/>
      <c r="AA31" s="785"/>
      <c r="AB31" s="653"/>
      <c r="AC31" s="653"/>
      <c r="AD31" s="653"/>
      <c r="AE31" s="653"/>
      <c r="AF31" s="653"/>
      <c r="AG31" s="653"/>
      <c r="AH31" s="653"/>
      <c r="AI31" s="653"/>
      <c r="AJ31" s="653"/>
      <c r="AK31" s="653"/>
      <c r="AL31" s="653"/>
      <c r="AM31" s="653"/>
      <c r="AN31" s="653"/>
      <c r="AO31" s="653"/>
      <c r="AP31" s="653"/>
      <c r="AQ31" s="653"/>
      <c r="AR31" s="653"/>
      <c r="AS31" s="653"/>
      <c r="AT31" s="653"/>
      <c r="AU31" s="653"/>
      <c r="AV31" s="653"/>
    </row>
    <row r="32" spans="2:48" s="679" customFormat="1" x14ac:dyDescent="0.35">
      <c r="B32" s="784"/>
      <c r="C32" s="661">
        <v>0</v>
      </c>
      <c r="D32" s="654"/>
      <c r="E32" s="654"/>
      <c r="F32" s="654">
        <v>1</v>
      </c>
      <c r="G32" s="654">
        <v>0</v>
      </c>
      <c r="H32" s="654">
        <v>0</v>
      </c>
      <c r="I32" s="727">
        <f t="shared" ref="I32:I36" si="15">IF(G32=0,0,IF(G32=1,IF(H32&gt;11,$I$13,$I$14),IF(G32=2,2*$I$13,2*$I$13+(G32-2)*$I$12)))</f>
        <v>0</v>
      </c>
      <c r="J32" s="728">
        <f t="shared" ref="J32:J36" si="16">I32*F32</f>
        <v>0</v>
      </c>
      <c r="K32" s="654">
        <v>0</v>
      </c>
      <c r="L32" s="727">
        <f t="shared" ref="L32:L36" si="17">L$13+(F32-1)*L$14</f>
        <v>0.3</v>
      </c>
      <c r="M32" s="655">
        <v>0</v>
      </c>
      <c r="N32" s="655">
        <v>0</v>
      </c>
      <c r="O32" s="655">
        <v>0</v>
      </c>
      <c r="P32" s="729">
        <f t="shared" ref="P32:P36" si="18">L32*2*K32+F32*(M32+N32+O32)</f>
        <v>0</v>
      </c>
      <c r="Q32" s="654" t="s">
        <v>304</v>
      </c>
      <c r="R32" s="727">
        <f t="shared" si="4"/>
        <v>80</v>
      </c>
      <c r="S32" s="728">
        <f t="shared" ref="S32:S36" si="19">IF(G32&gt;0,F32*(G32-1)*R32,0)</f>
        <v>0</v>
      </c>
      <c r="T32" s="655">
        <v>0</v>
      </c>
      <c r="U32" s="728">
        <f t="shared" ref="U32:U36" si="20">T32*F32</f>
        <v>0</v>
      </c>
      <c r="V32" s="655">
        <v>0</v>
      </c>
      <c r="W32" s="730">
        <f t="shared" ref="W32:W36" si="21">V32+U32+S32+P32+J32</f>
        <v>0</v>
      </c>
      <c r="X32" s="698"/>
      <c r="Y32" s="698"/>
      <c r="Z32" s="698"/>
      <c r="AA32" s="785"/>
      <c r="AB32" s="653"/>
      <c r="AC32" s="653"/>
      <c r="AD32" s="653"/>
      <c r="AE32" s="653"/>
      <c r="AF32" s="653"/>
      <c r="AG32" s="653"/>
      <c r="AH32" s="653"/>
      <c r="AI32" s="653"/>
      <c r="AJ32" s="653"/>
      <c r="AK32" s="653"/>
      <c r="AL32" s="653"/>
      <c r="AM32" s="653"/>
      <c r="AN32" s="653"/>
      <c r="AO32" s="653"/>
      <c r="AP32" s="653"/>
      <c r="AQ32" s="653"/>
      <c r="AR32" s="653"/>
      <c r="AS32" s="653"/>
      <c r="AT32" s="653"/>
      <c r="AU32" s="653"/>
      <c r="AV32" s="653"/>
    </row>
    <row r="33" spans="2:48" x14ac:dyDescent="0.35">
      <c r="B33" s="303"/>
      <c r="C33" s="661">
        <v>0</v>
      </c>
      <c r="D33" s="654"/>
      <c r="E33" s="654"/>
      <c r="F33" s="654">
        <v>1</v>
      </c>
      <c r="G33" s="654">
        <v>0</v>
      </c>
      <c r="H33" s="654">
        <v>0</v>
      </c>
      <c r="I33" s="727">
        <f t="shared" si="15"/>
        <v>0</v>
      </c>
      <c r="J33" s="728">
        <f t="shared" si="16"/>
        <v>0</v>
      </c>
      <c r="K33" s="654">
        <v>0</v>
      </c>
      <c r="L33" s="727">
        <f t="shared" si="17"/>
        <v>0.3</v>
      </c>
      <c r="M33" s="655">
        <v>0</v>
      </c>
      <c r="N33" s="655">
        <v>0</v>
      </c>
      <c r="O33" s="655">
        <v>0</v>
      </c>
      <c r="P33" s="729">
        <f t="shared" si="18"/>
        <v>0</v>
      </c>
      <c r="Q33" s="654" t="s">
        <v>304</v>
      </c>
      <c r="R33" s="727">
        <f t="shared" si="4"/>
        <v>80</v>
      </c>
      <c r="S33" s="728">
        <f t="shared" si="19"/>
        <v>0</v>
      </c>
      <c r="T33" s="655">
        <v>0</v>
      </c>
      <c r="U33" s="728">
        <f t="shared" si="20"/>
        <v>0</v>
      </c>
      <c r="V33" s="655">
        <v>0</v>
      </c>
      <c r="W33" s="730">
        <f t="shared" si="21"/>
        <v>0</v>
      </c>
      <c r="X33" s="307"/>
      <c r="Y33" s="307"/>
      <c r="Z33" s="307"/>
      <c r="AA33" s="37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</row>
    <row r="34" spans="2:48" x14ac:dyDescent="0.35">
      <c r="B34" s="303"/>
      <c r="C34" s="661">
        <v>0</v>
      </c>
      <c r="D34" s="654"/>
      <c r="E34" s="654"/>
      <c r="F34" s="654">
        <v>1</v>
      </c>
      <c r="G34" s="654">
        <v>0</v>
      </c>
      <c r="H34" s="654">
        <v>0</v>
      </c>
      <c r="I34" s="727">
        <f t="shared" si="15"/>
        <v>0</v>
      </c>
      <c r="J34" s="728">
        <f t="shared" si="16"/>
        <v>0</v>
      </c>
      <c r="K34" s="654">
        <v>0</v>
      </c>
      <c r="L34" s="727">
        <f t="shared" si="17"/>
        <v>0.3</v>
      </c>
      <c r="M34" s="655">
        <v>0</v>
      </c>
      <c r="N34" s="655">
        <v>0</v>
      </c>
      <c r="O34" s="655">
        <v>0</v>
      </c>
      <c r="P34" s="729">
        <f t="shared" si="18"/>
        <v>0</v>
      </c>
      <c r="Q34" s="654" t="s">
        <v>304</v>
      </c>
      <c r="R34" s="727">
        <f t="shared" si="4"/>
        <v>80</v>
      </c>
      <c r="S34" s="728">
        <f t="shared" si="19"/>
        <v>0</v>
      </c>
      <c r="T34" s="655">
        <v>0</v>
      </c>
      <c r="U34" s="728">
        <f t="shared" si="20"/>
        <v>0</v>
      </c>
      <c r="V34" s="655">
        <v>0</v>
      </c>
      <c r="W34" s="730">
        <f t="shared" si="21"/>
        <v>0</v>
      </c>
      <c r="X34" s="307"/>
      <c r="Y34" s="307"/>
      <c r="Z34" s="307"/>
      <c r="AA34" s="37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</row>
    <row r="35" spans="2:48" x14ac:dyDescent="0.35">
      <c r="B35" s="303"/>
      <c r="C35" s="661">
        <v>0</v>
      </c>
      <c r="D35" s="654"/>
      <c r="E35" s="654"/>
      <c r="F35" s="654">
        <v>1</v>
      </c>
      <c r="G35" s="654">
        <v>0</v>
      </c>
      <c r="H35" s="654">
        <v>0</v>
      </c>
      <c r="I35" s="727">
        <f t="shared" si="15"/>
        <v>0</v>
      </c>
      <c r="J35" s="728">
        <f t="shared" si="16"/>
        <v>0</v>
      </c>
      <c r="K35" s="654">
        <v>0</v>
      </c>
      <c r="L35" s="727">
        <f t="shared" si="17"/>
        <v>0.3</v>
      </c>
      <c r="M35" s="655">
        <v>0</v>
      </c>
      <c r="N35" s="655">
        <v>0</v>
      </c>
      <c r="O35" s="655">
        <v>0</v>
      </c>
      <c r="P35" s="729">
        <f t="shared" si="18"/>
        <v>0</v>
      </c>
      <c r="Q35" s="654" t="s">
        <v>304</v>
      </c>
      <c r="R35" s="727">
        <f t="shared" si="4"/>
        <v>80</v>
      </c>
      <c r="S35" s="728">
        <f t="shared" si="19"/>
        <v>0</v>
      </c>
      <c r="T35" s="655">
        <v>0</v>
      </c>
      <c r="U35" s="728">
        <f t="shared" si="20"/>
        <v>0</v>
      </c>
      <c r="V35" s="655">
        <v>0</v>
      </c>
      <c r="W35" s="730">
        <f t="shared" si="21"/>
        <v>0</v>
      </c>
      <c r="X35" s="307"/>
      <c r="Y35" s="307"/>
      <c r="Z35" s="307"/>
      <c r="AA35" s="37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</row>
    <row r="36" spans="2:48" ht="15" thickBot="1" x14ac:dyDescent="0.4">
      <c r="B36" s="303"/>
      <c r="C36" s="662">
        <v>0</v>
      </c>
      <c r="D36" s="663"/>
      <c r="E36" s="663"/>
      <c r="F36" s="663">
        <v>1</v>
      </c>
      <c r="G36" s="663">
        <v>0</v>
      </c>
      <c r="H36" s="663">
        <v>0</v>
      </c>
      <c r="I36" s="735">
        <f t="shared" si="15"/>
        <v>0</v>
      </c>
      <c r="J36" s="736">
        <f t="shared" si="16"/>
        <v>0</v>
      </c>
      <c r="K36" s="663">
        <v>0</v>
      </c>
      <c r="L36" s="735">
        <f t="shared" si="17"/>
        <v>0.3</v>
      </c>
      <c r="M36" s="664">
        <v>0</v>
      </c>
      <c r="N36" s="664">
        <v>0</v>
      </c>
      <c r="O36" s="664">
        <v>0</v>
      </c>
      <c r="P36" s="737">
        <f t="shared" si="18"/>
        <v>0</v>
      </c>
      <c r="Q36" s="663" t="s">
        <v>304</v>
      </c>
      <c r="R36" s="735">
        <f t="shared" si="4"/>
        <v>80</v>
      </c>
      <c r="S36" s="736">
        <f t="shared" si="19"/>
        <v>0</v>
      </c>
      <c r="T36" s="664">
        <v>0</v>
      </c>
      <c r="U36" s="736">
        <f t="shared" si="20"/>
        <v>0</v>
      </c>
      <c r="V36" s="664">
        <v>0</v>
      </c>
      <c r="W36" s="738">
        <f t="shared" si="21"/>
        <v>0</v>
      </c>
      <c r="X36" s="307"/>
      <c r="Y36" s="307"/>
      <c r="Z36" s="307"/>
      <c r="AA36" s="37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</row>
    <row r="37" spans="2:48" ht="15" thickBot="1" x14ac:dyDescent="0.4">
      <c r="B37" s="303"/>
      <c r="C37" s="739"/>
      <c r="D37" s="740"/>
      <c r="E37" s="740"/>
      <c r="F37" s="740"/>
      <c r="G37" s="740"/>
      <c r="H37" s="740"/>
      <c r="I37" s="741"/>
      <c r="J37" s="742"/>
      <c r="K37" s="740"/>
      <c r="L37" s="741"/>
      <c r="M37" s="741"/>
      <c r="N37" s="741"/>
      <c r="O37" s="741"/>
      <c r="P37" s="741"/>
      <c r="Q37" s="740"/>
      <c r="R37" s="741"/>
      <c r="S37" s="742"/>
      <c r="T37" s="741"/>
      <c r="U37" s="742"/>
      <c r="V37" s="743" t="s">
        <v>659</v>
      </c>
      <c r="W37" s="744">
        <f>SUM(W16:W36)</f>
        <v>0</v>
      </c>
      <c r="X37" s="307"/>
      <c r="Y37" s="307"/>
      <c r="Z37" s="307"/>
      <c r="AA37" s="37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</row>
    <row r="38" spans="2:48" x14ac:dyDescent="0.35">
      <c r="B38" s="303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7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</row>
    <row r="39" spans="2:48" ht="15" thickBot="1" x14ac:dyDescent="0.4">
      <c r="B39" s="303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7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</row>
    <row r="40" spans="2:48" ht="15" thickBot="1" x14ac:dyDescent="0.4">
      <c r="B40" s="303"/>
      <c r="C40" s="680" t="s">
        <v>662</v>
      </c>
      <c r="D40" s="681"/>
      <c r="E40" s="681"/>
      <c r="F40" s="681" t="s">
        <v>656</v>
      </c>
      <c r="G40" s="681"/>
      <c r="H40" s="681"/>
      <c r="I40" s="681"/>
      <c r="J40" s="681"/>
      <c r="K40" s="681"/>
      <c r="L40" s="681"/>
      <c r="M40" s="681"/>
      <c r="N40" s="681"/>
      <c r="O40" s="681"/>
      <c r="P40" s="681"/>
      <c r="Q40" s="681"/>
      <c r="R40" s="681"/>
      <c r="S40" s="681"/>
      <c r="T40" s="681"/>
      <c r="U40" s="681"/>
      <c r="V40" s="681"/>
      <c r="W40" s="681"/>
      <c r="X40" s="745"/>
      <c r="Y40" s="745"/>
      <c r="Z40" s="746"/>
      <c r="AA40" s="37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</row>
    <row r="41" spans="2:48" ht="15" thickBot="1" x14ac:dyDescent="0.4">
      <c r="B41" s="303"/>
      <c r="C41" s="747" t="s">
        <v>97</v>
      </c>
      <c r="D41" s="688" t="s">
        <v>641</v>
      </c>
      <c r="E41" s="307"/>
      <c r="F41" s="698"/>
      <c r="G41" s="698"/>
      <c r="H41" s="696"/>
      <c r="I41" s="748" t="s">
        <v>311</v>
      </c>
      <c r="J41" s="749"/>
      <c r="K41" s="749"/>
      <c r="L41" s="749"/>
      <c r="M41" s="708"/>
      <c r="N41" s="710"/>
      <c r="O41" s="748" t="s">
        <v>635</v>
      </c>
      <c r="P41" s="708"/>
      <c r="Q41" s="708"/>
      <c r="R41" s="708"/>
      <c r="S41" s="708"/>
      <c r="T41" s="710"/>
      <c r="U41" s="748" t="s">
        <v>636</v>
      </c>
      <c r="V41" s="710"/>
      <c r="W41" s="748" t="s">
        <v>637</v>
      </c>
      <c r="X41" s="750"/>
      <c r="Y41" s="751" t="s">
        <v>638</v>
      </c>
      <c r="Z41" s="751" t="s">
        <v>639</v>
      </c>
      <c r="AA41" s="37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</row>
    <row r="42" spans="2:48" ht="14.5" customHeight="1" x14ac:dyDescent="0.35">
      <c r="B42" s="303"/>
      <c r="C42" s="752"/>
      <c r="D42" s="753" t="s">
        <v>309</v>
      </c>
      <c r="E42" s="754" t="s">
        <v>661</v>
      </c>
      <c r="F42" s="755" t="s">
        <v>557</v>
      </c>
      <c r="G42" s="756" t="s">
        <v>310</v>
      </c>
      <c r="H42" s="757" t="s">
        <v>651</v>
      </c>
      <c r="I42" s="758"/>
      <c r="J42" s="759"/>
      <c r="K42" s="759"/>
      <c r="L42" s="759"/>
      <c r="M42" s="760"/>
      <c r="N42" s="761"/>
      <c r="O42" s="692" t="s">
        <v>643</v>
      </c>
      <c r="P42" s="693"/>
      <c r="Q42" s="688" t="s">
        <v>644</v>
      </c>
      <c r="R42" s="688" t="s">
        <v>645</v>
      </c>
      <c r="S42" s="688" t="s">
        <v>647</v>
      </c>
      <c r="T42" s="694" t="s">
        <v>192</v>
      </c>
      <c r="U42" s="760"/>
      <c r="V42" s="761"/>
      <c r="W42" s="686"/>
      <c r="X42" s="696"/>
      <c r="Y42" s="1028" t="s">
        <v>658</v>
      </c>
      <c r="Z42" s="697"/>
      <c r="AA42" s="37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</row>
    <row r="43" spans="2:48" x14ac:dyDescent="0.35">
      <c r="B43" s="303"/>
      <c r="C43" s="686"/>
      <c r="D43" s="698"/>
      <c r="E43" s="307"/>
      <c r="F43" s="699"/>
      <c r="G43" s="762"/>
      <c r="H43" s="763"/>
      <c r="I43" s="764"/>
      <c r="J43" s="307"/>
      <c r="K43" s="307"/>
      <c r="L43" s="307"/>
      <c r="M43" s="690"/>
      <c r="N43" s="696"/>
      <c r="O43" s="701" t="s">
        <v>308</v>
      </c>
      <c r="P43" s="702">
        <v>0.3</v>
      </c>
      <c r="Q43" s="698"/>
      <c r="R43" s="698"/>
      <c r="S43" s="698"/>
      <c r="T43" s="696"/>
      <c r="U43" s="690"/>
      <c r="V43" s="696"/>
      <c r="W43" s="686"/>
      <c r="X43" s="696"/>
      <c r="Y43" s="1029"/>
      <c r="Z43" s="697"/>
      <c r="AA43" s="37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</row>
    <row r="44" spans="2:48" x14ac:dyDescent="0.35">
      <c r="B44" s="303"/>
      <c r="C44" s="686"/>
      <c r="D44" s="698"/>
      <c r="E44" s="307"/>
      <c r="F44" s="699"/>
      <c r="G44" s="698"/>
      <c r="H44" s="763"/>
      <c r="I44" s="764"/>
      <c r="J44" s="307"/>
      <c r="K44" s="307"/>
      <c r="L44" s="307"/>
      <c r="M44" s="690"/>
      <c r="N44" s="696"/>
      <c r="O44" s="704" t="s">
        <v>642</v>
      </c>
      <c r="P44" s="706">
        <v>0.05</v>
      </c>
      <c r="Q44" s="698"/>
      <c r="R44" s="698"/>
      <c r="S44" s="698"/>
      <c r="T44" s="696"/>
      <c r="U44" s="765"/>
      <c r="V44" s="696"/>
      <c r="W44" s="686"/>
      <c r="X44" s="696"/>
      <c r="Y44" s="1029"/>
      <c r="Z44" s="697"/>
      <c r="AA44" s="37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</row>
    <row r="45" spans="2:48" ht="32" thickBot="1" x14ac:dyDescent="0.4">
      <c r="B45" s="303"/>
      <c r="C45" s="707"/>
      <c r="D45" s="708"/>
      <c r="E45" s="749"/>
      <c r="F45" s="709"/>
      <c r="G45" s="708"/>
      <c r="H45" s="710"/>
      <c r="I45" s="714" t="s">
        <v>655</v>
      </c>
      <c r="J45" s="766" t="s">
        <v>299</v>
      </c>
      <c r="K45" s="766" t="s">
        <v>300</v>
      </c>
      <c r="L45" s="766" t="s">
        <v>301</v>
      </c>
      <c r="M45" s="767" t="s">
        <v>648</v>
      </c>
      <c r="N45" s="713" t="s">
        <v>652</v>
      </c>
      <c r="O45" s="714" t="s">
        <v>313</v>
      </c>
      <c r="P45" s="715" t="s">
        <v>308</v>
      </c>
      <c r="Q45" s="716" t="s">
        <v>654</v>
      </c>
      <c r="R45" s="716" t="s">
        <v>653</v>
      </c>
      <c r="S45" s="716" t="s">
        <v>649</v>
      </c>
      <c r="T45" s="717" t="s">
        <v>652</v>
      </c>
      <c r="U45" s="766" t="s">
        <v>664</v>
      </c>
      <c r="V45" s="719" t="s">
        <v>663</v>
      </c>
      <c r="W45" s="720" t="s">
        <v>648</v>
      </c>
      <c r="X45" s="721" t="s">
        <v>652</v>
      </c>
      <c r="Y45" s="722" t="s">
        <v>657</v>
      </c>
      <c r="Z45" s="722" t="s">
        <v>650</v>
      </c>
      <c r="AA45" s="37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</row>
    <row r="46" spans="2:48" x14ac:dyDescent="0.35">
      <c r="B46" s="303"/>
      <c r="C46" s="668">
        <v>0</v>
      </c>
      <c r="D46" s="669"/>
      <c r="E46" s="667" t="s">
        <v>330</v>
      </c>
      <c r="F46" s="669"/>
      <c r="G46" s="669">
        <v>0</v>
      </c>
      <c r="H46" s="669">
        <v>0</v>
      </c>
      <c r="I46" s="672">
        <v>0</v>
      </c>
      <c r="J46" s="768">
        <f>VLOOKUP(E46,'RK-Infos'!$A$7:$F$236,2,0)</f>
        <v>41</v>
      </c>
      <c r="K46" s="768">
        <f>VLOOKUP(E46,'RK-Infos'!$A$7:$F$236,3,0)</f>
        <v>33</v>
      </c>
      <c r="L46" s="768">
        <f>VLOOKUP(E46,'RK-Infos'!$A$7:$F$236,4,0)</f>
        <v>16</v>
      </c>
      <c r="M46" s="769">
        <f>IF(H46=0,0,IF(H46=1,IF(I46&gt;11,$K$46,$L$46),IF(H46=2,2*$K$46,2*$K$46+(H46-2)*$J$46)))</f>
        <v>0</v>
      </c>
      <c r="N46" s="770">
        <f>M46*G46</f>
        <v>0</v>
      </c>
      <c r="O46" s="669">
        <v>0</v>
      </c>
      <c r="P46" s="769">
        <f>L$13+(G46-1)*L$14</f>
        <v>0.25</v>
      </c>
      <c r="Q46" s="670">
        <v>0</v>
      </c>
      <c r="R46" s="670">
        <v>0</v>
      </c>
      <c r="S46" s="670">
        <v>0</v>
      </c>
      <c r="T46" s="771">
        <f>P46*2*O46+G46*(Q46+R46+S46)</f>
        <v>0</v>
      </c>
      <c r="U46" s="772">
        <f>VLOOKUP(E46,'RK-Infos'!$A$7:$F$236,5,0)</f>
        <v>188.5</v>
      </c>
      <c r="V46" s="770">
        <f>IF(H46&gt;0,G46*(H46-1)*U46,0)</f>
        <v>0</v>
      </c>
      <c r="W46" s="670">
        <v>0</v>
      </c>
      <c r="X46" s="770">
        <f>W46*G46</f>
        <v>0</v>
      </c>
      <c r="Y46" s="670">
        <v>0</v>
      </c>
      <c r="Z46" s="773">
        <f>Y46+X46+V46+T46+N46</f>
        <v>0</v>
      </c>
      <c r="AA46" s="37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</row>
    <row r="47" spans="2:48" x14ac:dyDescent="0.35">
      <c r="B47" s="303"/>
      <c r="C47" s="666">
        <v>0</v>
      </c>
      <c r="D47" s="656"/>
      <c r="E47" s="671" t="s">
        <v>330</v>
      </c>
      <c r="F47" s="656"/>
      <c r="G47" s="656">
        <v>0</v>
      </c>
      <c r="H47" s="656">
        <v>0</v>
      </c>
      <c r="I47" s="656">
        <v>0</v>
      </c>
      <c r="J47" s="774">
        <f>VLOOKUP(E47,'RK-Infos'!$A$7:$F$236,2,0)</f>
        <v>41</v>
      </c>
      <c r="K47" s="774">
        <f>VLOOKUP(E47,'RK-Infos'!$A$7:$F$236,3,0)</f>
        <v>33</v>
      </c>
      <c r="L47" s="774">
        <f>VLOOKUP(E47,'RK-Infos'!$A$7:$F$236,4,0)</f>
        <v>16</v>
      </c>
      <c r="M47" s="731">
        <f t="shared" ref="M47:M54" si="22">IF(H47=0,0,IF(H47=1,IF(I47&gt;11,$K$46,$L$46),IF(H47=2,2*$K$46,2*$K$46+(H47-2)*$J$46)))</f>
        <v>0</v>
      </c>
      <c r="N47" s="732">
        <f t="shared" ref="N47:N54" si="23">M47*G47</f>
        <v>0</v>
      </c>
      <c r="O47" s="656">
        <v>0</v>
      </c>
      <c r="P47" s="731">
        <f t="shared" ref="P47:P54" si="24">L$13+(G47-1)*L$14</f>
        <v>0.25</v>
      </c>
      <c r="Q47" s="657">
        <v>0</v>
      </c>
      <c r="R47" s="657">
        <v>0</v>
      </c>
      <c r="S47" s="657">
        <v>0</v>
      </c>
      <c r="T47" s="733">
        <f t="shared" ref="T47:T54" si="25">P47*2*O47+G47*(Q47+R47+S47)</f>
        <v>0</v>
      </c>
      <c r="U47" s="775">
        <f>VLOOKUP(E47,'RK-Infos'!$A$7:$F$236,5,0)</f>
        <v>188.5</v>
      </c>
      <c r="V47" s="732">
        <f t="shared" ref="V47:V54" si="26">IF(H47&gt;0,G47*(H47-1)*U47,0)</f>
        <v>0</v>
      </c>
      <c r="W47" s="657">
        <v>0</v>
      </c>
      <c r="X47" s="732">
        <f t="shared" ref="X47:X54" si="27">W47*G47</f>
        <v>0</v>
      </c>
      <c r="Y47" s="657">
        <v>0</v>
      </c>
      <c r="Z47" s="734">
        <f t="shared" ref="Z47:Z54" si="28">Y47+X47+V47+T47+N47</f>
        <v>0</v>
      </c>
      <c r="AA47" s="37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</row>
    <row r="48" spans="2:48" x14ac:dyDescent="0.35">
      <c r="B48" s="303"/>
      <c r="C48" s="666">
        <v>0</v>
      </c>
      <c r="D48" s="656"/>
      <c r="E48" s="671" t="s">
        <v>330</v>
      </c>
      <c r="F48" s="656"/>
      <c r="G48" s="656">
        <v>0</v>
      </c>
      <c r="H48" s="656">
        <v>0</v>
      </c>
      <c r="I48" s="656">
        <v>0</v>
      </c>
      <c r="J48" s="774">
        <f>VLOOKUP(E48,'RK-Infos'!$A$7:$F$236,2,0)</f>
        <v>41</v>
      </c>
      <c r="K48" s="774">
        <f>VLOOKUP(E48,'RK-Infos'!$A$7:$F$236,3,0)</f>
        <v>33</v>
      </c>
      <c r="L48" s="774">
        <f>VLOOKUP(E48,'RK-Infos'!$A$7:$F$236,4,0)</f>
        <v>16</v>
      </c>
      <c r="M48" s="731">
        <f t="shared" si="22"/>
        <v>0</v>
      </c>
      <c r="N48" s="732">
        <f t="shared" si="23"/>
        <v>0</v>
      </c>
      <c r="O48" s="656">
        <v>0</v>
      </c>
      <c r="P48" s="731">
        <f t="shared" si="24"/>
        <v>0.25</v>
      </c>
      <c r="Q48" s="657">
        <v>0</v>
      </c>
      <c r="R48" s="657">
        <v>0</v>
      </c>
      <c r="S48" s="657">
        <v>0</v>
      </c>
      <c r="T48" s="733">
        <f t="shared" si="25"/>
        <v>0</v>
      </c>
      <c r="U48" s="775">
        <f>VLOOKUP(E48,'RK-Infos'!$A$7:$F$236,5,0)</f>
        <v>188.5</v>
      </c>
      <c r="V48" s="732">
        <f t="shared" si="26"/>
        <v>0</v>
      </c>
      <c r="W48" s="657">
        <v>0</v>
      </c>
      <c r="X48" s="732">
        <f t="shared" si="27"/>
        <v>0</v>
      </c>
      <c r="Y48" s="657">
        <v>0</v>
      </c>
      <c r="Z48" s="734">
        <f t="shared" si="28"/>
        <v>0</v>
      </c>
      <c r="AA48" s="37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</row>
    <row r="49" spans="1:48" x14ac:dyDescent="0.35">
      <c r="B49" s="303"/>
      <c r="C49" s="666">
        <v>0</v>
      </c>
      <c r="D49" s="656"/>
      <c r="E49" s="671" t="s">
        <v>330</v>
      </c>
      <c r="F49" s="656"/>
      <c r="G49" s="656">
        <v>0</v>
      </c>
      <c r="H49" s="656">
        <v>0</v>
      </c>
      <c r="I49" s="656">
        <v>0</v>
      </c>
      <c r="J49" s="774">
        <f>VLOOKUP(E49,'RK-Infos'!$A$7:$F$236,2,0)</f>
        <v>41</v>
      </c>
      <c r="K49" s="774">
        <f>VLOOKUP(E49,'RK-Infos'!$A$7:$F$236,3,0)</f>
        <v>33</v>
      </c>
      <c r="L49" s="774">
        <f>VLOOKUP(E49,'RK-Infos'!$A$7:$F$236,4,0)</f>
        <v>16</v>
      </c>
      <c r="M49" s="731">
        <f t="shared" si="22"/>
        <v>0</v>
      </c>
      <c r="N49" s="732">
        <f t="shared" si="23"/>
        <v>0</v>
      </c>
      <c r="O49" s="656">
        <v>0</v>
      </c>
      <c r="P49" s="731">
        <f t="shared" si="24"/>
        <v>0.25</v>
      </c>
      <c r="Q49" s="657">
        <v>0</v>
      </c>
      <c r="R49" s="657">
        <v>0</v>
      </c>
      <c r="S49" s="657">
        <v>0</v>
      </c>
      <c r="T49" s="733">
        <f t="shared" si="25"/>
        <v>0</v>
      </c>
      <c r="U49" s="775">
        <f>VLOOKUP(E49,'RK-Infos'!$A$7:$F$236,5,0)</f>
        <v>188.5</v>
      </c>
      <c r="V49" s="732">
        <f t="shared" si="26"/>
        <v>0</v>
      </c>
      <c r="W49" s="657">
        <v>0</v>
      </c>
      <c r="X49" s="732">
        <f t="shared" si="27"/>
        <v>0</v>
      </c>
      <c r="Y49" s="657">
        <v>0</v>
      </c>
      <c r="Z49" s="734">
        <f t="shared" si="28"/>
        <v>0</v>
      </c>
      <c r="AA49" s="37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</row>
    <row r="50" spans="1:48" x14ac:dyDescent="0.35">
      <c r="B50" s="303"/>
      <c r="C50" s="666">
        <v>0</v>
      </c>
      <c r="D50" s="656"/>
      <c r="E50" s="671" t="s">
        <v>330</v>
      </c>
      <c r="F50" s="656"/>
      <c r="G50" s="656">
        <v>0</v>
      </c>
      <c r="H50" s="656">
        <v>0</v>
      </c>
      <c r="I50" s="656">
        <v>0</v>
      </c>
      <c r="J50" s="774">
        <f>VLOOKUP(E50,'RK-Infos'!$A$7:$F$236,2,0)</f>
        <v>41</v>
      </c>
      <c r="K50" s="774">
        <f>VLOOKUP(E50,'RK-Infos'!$A$7:$F$236,3,0)</f>
        <v>33</v>
      </c>
      <c r="L50" s="774">
        <f>VLOOKUP(E50,'RK-Infos'!$A$7:$F$236,4,0)</f>
        <v>16</v>
      </c>
      <c r="M50" s="731">
        <f t="shared" si="22"/>
        <v>0</v>
      </c>
      <c r="N50" s="732">
        <f t="shared" si="23"/>
        <v>0</v>
      </c>
      <c r="O50" s="656">
        <v>0</v>
      </c>
      <c r="P50" s="731">
        <f t="shared" si="24"/>
        <v>0.25</v>
      </c>
      <c r="Q50" s="657">
        <v>0</v>
      </c>
      <c r="R50" s="657">
        <v>0</v>
      </c>
      <c r="S50" s="657">
        <v>0</v>
      </c>
      <c r="T50" s="733">
        <f t="shared" si="25"/>
        <v>0</v>
      </c>
      <c r="U50" s="775">
        <f>VLOOKUP(E50,'RK-Infos'!$A$7:$F$236,5,0)</f>
        <v>188.5</v>
      </c>
      <c r="V50" s="732">
        <f t="shared" si="26"/>
        <v>0</v>
      </c>
      <c r="W50" s="657">
        <v>0</v>
      </c>
      <c r="X50" s="732">
        <f t="shared" si="27"/>
        <v>0</v>
      </c>
      <c r="Y50" s="657">
        <v>0</v>
      </c>
      <c r="Z50" s="734">
        <f t="shared" si="28"/>
        <v>0</v>
      </c>
      <c r="AA50" s="37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</row>
    <row r="51" spans="1:48" x14ac:dyDescent="0.35">
      <c r="B51" s="303"/>
      <c r="C51" s="666">
        <v>0</v>
      </c>
      <c r="D51" s="656"/>
      <c r="E51" s="671" t="s">
        <v>325</v>
      </c>
      <c r="F51" s="656"/>
      <c r="G51" s="656">
        <v>0</v>
      </c>
      <c r="H51" s="656">
        <v>0</v>
      </c>
      <c r="I51" s="656">
        <v>0</v>
      </c>
      <c r="J51" s="774">
        <f>VLOOKUP(E51,'RK-Infos'!$A$7:$F$236,2,0)</f>
        <v>42</v>
      </c>
      <c r="K51" s="774">
        <f>VLOOKUP(E51,'RK-Infos'!$A$7:$F$236,3,0)</f>
        <v>33.5</v>
      </c>
      <c r="L51" s="774">
        <f>VLOOKUP(E51,'RK-Infos'!$A$7:$F$236,4,0)</f>
        <v>16.5</v>
      </c>
      <c r="M51" s="731">
        <f t="shared" si="22"/>
        <v>0</v>
      </c>
      <c r="N51" s="732">
        <f t="shared" si="23"/>
        <v>0</v>
      </c>
      <c r="O51" s="656">
        <v>0</v>
      </c>
      <c r="P51" s="731">
        <f t="shared" si="24"/>
        <v>0.25</v>
      </c>
      <c r="Q51" s="657">
        <v>0</v>
      </c>
      <c r="R51" s="657">
        <v>0</v>
      </c>
      <c r="S51" s="657">
        <v>0</v>
      </c>
      <c r="T51" s="733">
        <f t="shared" si="25"/>
        <v>0</v>
      </c>
      <c r="U51" s="775">
        <f>VLOOKUP(E51,'RK-Infos'!$A$7:$F$236,5,0)</f>
        <v>126.5</v>
      </c>
      <c r="V51" s="732">
        <f t="shared" si="26"/>
        <v>0</v>
      </c>
      <c r="W51" s="657">
        <v>0</v>
      </c>
      <c r="X51" s="732">
        <f t="shared" si="27"/>
        <v>0</v>
      </c>
      <c r="Y51" s="657">
        <v>0</v>
      </c>
      <c r="Z51" s="734">
        <f t="shared" si="28"/>
        <v>0</v>
      </c>
      <c r="AA51" s="37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</row>
    <row r="52" spans="1:48" x14ac:dyDescent="0.35">
      <c r="B52" s="303"/>
      <c r="C52" s="666">
        <v>0</v>
      </c>
      <c r="D52" s="656"/>
      <c r="E52" s="671" t="s">
        <v>325</v>
      </c>
      <c r="F52" s="656"/>
      <c r="G52" s="656">
        <v>0</v>
      </c>
      <c r="H52" s="656">
        <v>0</v>
      </c>
      <c r="I52" s="656">
        <v>0</v>
      </c>
      <c r="J52" s="774">
        <f>VLOOKUP(E52,'RK-Infos'!$A$7:$F$236,2,0)</f>
        <v>42</v>
      </c>
      <c r="K52" s="774">
        <f>VLOOKUP(E52,'RK-Infos'!$A$7:$F$236,3,0)</f>
        <v>33.5</v>
      </c>
      <c r="L52" s="774">
        <f>VLOOKUP(E52,'RK-Infos'!$A$7:$F$236,4,0)</f>
        <v>16.5</v>
      </c>
      <c r="M52" s="731">
        <f t="shared" si="22"/>
        <v>0</v>
      </c>
      <c r="N52" s="732">
        <f t="shared" si="23"/>
        <v>0</v>
      </c>
      <c r="O52" s="656">
        <v>0</v>
      </c>
      <c r="P52" s="731">
        <f t="shared" si="24"/>
        <v>0.25</v>
      </c>
      <c r="Q52" s="657">
        <v>0</v>
      </c>
      <c r="R52" s="657">
        <v>0</v>
      </c>
      <c r="S52" s="657">
        <v>0</v>
      </c>
      <c r="T52" s="733">
        <f t="shared" si="25"/>
        <v>0</v>
      </c>
      <c r="U52" s="775">
        <f>VLOOKUP(E52,'RK-Infos'!$A$7:$F$236,5,0)</f>
        <v>126.5</v>
      </c>
      <c r="V52" s="732">
        <f t="shared" si="26"/>
        <v>0</v>
      </c>
      <c r="W52" s="657">
        <v>0</v>
      </c>
      <c r="X52" s="732">
        <f t="shared" si="27"/>
        <v>0</v>
      </c>
      <c r="Y52" s="657">
        <v>0</v>
      </c>
      <c r="Z52" s="734">
        <f t="shared" si="28"/>
        <v>0</v>
      </c>
      <c r="AA52" s="37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</row>
    <row r="53" spans="1:48" x14ac:dyDescent="0.35">
      <c r="B53" s="303"/>
      <c r="C53" s="666">
        <v>0</v>
      </c>
      <c r="D53" s="656"/>
      <c r="E53" s="671" t="s">
        <v>325</v>
      </c>
      <c r="F53" s="656"/>
      <c r="G53" s="656">
        <v>0</v>
      </c>
      <c r="H53" s="656">
        <v>0</v>
      </c>
      <c r="I53" s="656">
        <v>0</v>
      </c>
      <c r="J53" s="774">
        <f>VLOOKUP(E53,'RK-Infos'!$A$7:$F$236,2,0)</f>
        <v>42</v>
      </c>
      <c r="K53" s="774">
        <f>VLOOKUP(E53,'RK-Infos'!$A$7:$F$236,3,0)</f>
        <v>33.5</v>
      </c>
      <c r="L53" s="774">
        <f>VLOOKUP(E53,'RK-Infos'!$A$7:$F$236,4,0)</f>
        <v>16.5</v>
      </c>
      <c r="M53" s="731">
        <f t="shared" si="22"/>
        <v>0</v>
      </c>
      <c r="N53" s="732">
        <f t="shared" si="23"/>
        <v>0</v>
      </c>
      <c r="O53" s="656">
        <v>0</v>
      </c>
      <c r="P53" s="731">
        <f t="shared" si="24"/>
        <v>0.25</v>
      </c>
      <c r="Q53" s="657">
        <v>0</v>
      </c>
      <c r="R53" s="657">
        <v>0</v>
      </c>
      <c r="S53" s="657">
        <v>0</v>
      </c>
      <c r="T53" s="733">
        <f t="shared" si="25"/>
        <v>0</v>
      </c>
      <c r="U53" s="775">
        <f>VLOOKUP(E53,'RK-Infos'!$A$7:$F$236,5,0)</f>
        <v>126.5</v>
      </c>
      <c r="V53" s="732">
        <f t="shared" si="26"/>
        <v>0</v>
      </c>
      <c r="W53" s="657">
        <v>0</v>
      </c>
      <c r="X53" s="732">
        <f t="shared" si="27"/>
        <v>0</v>
      </c>
      <c r="Y53" s="657">
        <v>0</v>
      </c>
      <c r="Z53" s="734">
        <f t="shared" si="28"/>
        <v>0</v>
      </c>
      <c r="AA53" s="37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</row>
    <row r="54" spans="1:48" ht="15" thickBot="1" x14ac:dyDescent="0.4">
      <c r="B54" s="303"/>
      <c r="C54" s="673">
        <v>0</v>
      </c>
      <c r="D54" s="674"/>
      <c r="E54" s="675" t="s">
        <v>325</v>
      </c>
      <c r="F54" s="674"/>
      <c r="G54" s="674">
        <v>0</v>
      </c>
      <c r="H54" s="674">
        <v>0</v>
      </c>
      <c r="I54" s="674">
        <v>0</v>
      </c>
      <c r="J54" s="776">
        <f>VLOOKUP(E54,'RK-Infos'!$A$7:$F$236,2,0)</f>
        <v>42</v>
      </c>
      <c r="K54" s="776">
        <f>VLOOKUP(E54,'RK-Infos'!$A$7:$F$236,3,0)</f>
        <v>33.5</v>
      </c>
      <c r="L54" s="776">
        <f>VLOOKUP(E54,'RK-Infos'!$A$7:$F$236,4,0)</f>
        <v>16.5</v>
      </c>
      <c r="M54" s="777">
        <f t="shared" si="22"/>
        <v>0</v>
      </c>
      <c r="N54" s="778">
        <f t="shared" si="23"/>
        <v>0</v>
      </c>
      <c r="O54" s="674">
        <v>0</v>
      </c>
      <c r="P54" s="777">
        <f t="shared" si="24"/>
        <v>0.25</v>
      </c>
      <c r="Q54" s="676">
        <v>0</v>
      </c>
      <c r="R54" s="676">
        <v>0</v>
      </c>
      <c r="S54" s="676">
        <v>0</v>
      </c>
      <c r="T54" s="779">
        <f t="shared" si="25"/>
        <v>0</v>
      </c>
      <c r="U54" s="780">
        <f>VLOOKUP(E54,'RK-Infos'!$A$7:$F$236,5,0)</f>
        <v>126.5</v>
      </c>
      <c r="V54" s="778">
        <f t="shared" si="26"/>
        <v>0</v>
      </c>
      <c r="W54" s="676">
        <v>0</v>
      </c>
      <c r="X54" s="778">
        <f t="shared" si="27"/>
        <v>0</v>
      </c>
      <c r="Y54" s="676">
        <v>0</v>
      </c>
      <c r="Z54" s="781">
        <f t="shared" si="28"/>
        <v>0</v>
      </c>
      <c r="AA54" s="37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</row>
    <row r="55" spans="1:48" ht="15" thickBot="1" x14ac:dyDescent="0.4">
      <c r="B55" s="303"/>
      <c r="C55" s="739"/>
      <c r="D55" s="740"/>
      <c r="E55" s="740"/>
      <c r="F55" s="740"/>
      <c r="G55" s="740"/>
      <c r="H55" s="740"/>
      <c r="I55" s="741"/>
      <c r="J55" s="742"/>
      <c r="K55" s="740"/>
      <c r="L55" s="741"/>
      <c r="M55" s="741"/>
      <c r="N55" s="741"/>
      <c r="O55" s="741"/>
      <c r="P55" s="741"/>
      <c r="Q55" s="740"/>
      <c r="R55" s="741"/>
      <c r="S55" s="742"/>
      <c r="T55" s="741"/>
      <c r="U55" s="741"/>
      <c r="V55" s="741"/>
      <c r="W55" s="741"/>
      <c r="X55" s="741"/>
      <c r="Y55" s="743" t="s">
        <v>659</v>
      </c>
      <c r="Z55" s="744">
        <f>SUM(Z46:Z54)</f>
        <v>0</v>
      </c>
      <c r="AA55" s="37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</row>
    <row r="56" spans="1:48" ht="15" thickBot="1" x14ac:dyDescent="0.4">
      <c r="B56" s="308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71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</row>
    <row r="57" spans="1:48" ht="15" thickTop="1" x14ac:dyDescent="0.35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</row>
    <row r="58" spans="1:48" x14ac:dyDescent="0.35">
      <c r="A58" s="33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</row>
    <row r="59" spans="1:48" x14ac:dyDescent="0.3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</row>
    <row r="60" spans="1:48" x14ac:dyDescent="0.35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</row>
    <row r="61" spans="1:48" x14ac:dyDescent="0.35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</row>
    <row r="62" spans="1:48" x14ac:dyDescent="0.35">
      <c r="A62" s="33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</row>
    <row r="63" spans="1:48" x14ac:dyDescent="0.35">
      <c r="A63" s="330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</row>
    <row r="64" spans="1:48" x14ac:dyDescent="0.35">
      <c r="A64" s="330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</row>
    <row r="65" spans="1:48" x14ac:dyDescent="0.35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</row>
    <row r="66" spans="1:48" x14ac:dyDescent="0.35">
      <c r="A66" s="330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</row>
    <row r="67" spans="1:48" x14ac:dyDescent="0.35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</row>
    <row r="68" spans="1:48" x14ac:dyDescent="0.35">
      <c r="A68" s="330"/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</row>
    <row r="69" spans="1:48" x14ac:dyDescent="0.35">
      <c r="A69" s="330"/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</row>
    <row r="70" spans="1:48" x14ac:dyDescent="0.35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</row>
    <row r="71" spans="1:48" x14ac:dyDescent="0.35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</row>
    <row r="72" spans="1:48" x14ac:dyDescent="0.35">
      <c r="A72" s="330"/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</row>
    <row r="73" spans="1:48" x14ac:dyDescent="0.35">
      <c r="A73" s="330"/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</row>
    <row r="74" spans="1:48" x14ac:dyDescent="0.35">
      <c r="A74" s="330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</row>
    <row r="75" spans="1:48" x14ac:dyDescent="0.35">
      <c r="A75" s="330"/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</row>
    <row r="76" spans="1:48" x14ac:dyDescent="0.35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</row>
    <row r="77" spans="1:48" x14ac:dyDescent="0.35">
      <c r="A77" s="330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</row>
    <row r="78" spans="1:48" x14ac:dyDescent="0.35">
      <c r="A78" s="330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</row>
    <row r="79" spans="1:48" x14ac:dyDescent="0.35">
      <c r="A79" s="330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</row>
    <row r="80" spans="1:48" x14ac:dyDescent="0.35">
      <c r="A80" s="330"/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</row>
    <row r="81" spans="1:48" x14ac:dyDescent="0.35">
      <c r="A81" s="330"/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</row>
    <row r="82" spans="1:48" x14ac:dyDescent="0.35">
      <c r="A82" s="330"/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</row>
    <row r="83" spans="1:48" x14ac:dyDescent="0.35">
      <c r="A83" s="330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</row>
    <row r="84" spans="1:48" x14ac:dyDescent="0.35">
      <c r="A84" s="330"/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</row>
    <row r="85" spans="1:48" x14ac:dyDescent="0.35">
      <c r="A85" s="330"/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</row>
    <row r="86" spans="1:48" x14ac:dyDescent="0.35">
      <c r="A86" s="330"/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330"/>
    </row>
    <row r="87" spans="1:48" x14ac:dyDescent="0.35">
      <c r="A87" s="330"/>
      <c r="B87" s="330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</row>
    <row r="88" spans="1:48" x14ac:dyDescent="0.35">
      <c r="A88" s="330"/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</row>
    <row r="89" spans="1:48" x14ac:dyDescent="0.35">
      <c r="A89" s="330"/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</row>
    <row r="90" spans="1:48" x14ac:dyDescent="0.35">
      <c r="A90" s="330"/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</row>
    <row r="91" spans="1:48" x14ac:dyDescent="0.35">
      <c r="A91" s="330"/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</row>
    <row r="92" spans="1:48" x14ac:dyDescent="0.35">
      <c r="A92" s="330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</row>
    <row r="93" spans="1:48" x14ac:dyDescent="0.35">
      <c r="A93" s="330"/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</row>
    <row r="94" spans="1:48" x14ac:dyDescent="0.35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</row>
    <row r="95" spans="1:48" x14ac:dyDescent="0.35">
      <c r="A95" s="330"/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</row>
    <row r="96" spans="1:48" x14ac:dyDescent="0.35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</row>
    <row r="97" spans="1:35" x14ac:dyDescent="0.35">
      <c r="A97" s="330"/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</row>
    <row r="98" spans="1:35" x14ac:dyDescent="0.35">
      <c r="A98" s="330"/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</row>
    <row r="99" spans="1:35" x14ac:dyDescent="0.35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</row>
    <row r="100" spans="1:35" x14ac:dyDescent="0.35">
      <c r="A100" s="330"/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</row>
    <row r="101" spans="1:35" x14ac:dyDescent="0.35">
      <c r="A101" s="330"/>
      <c r="B101" s="330"/>
      <c r="C101" s="330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0"/>
      <c r="AG101" s="330"/>
      <c r="AH101" s="330"/>
      <c r="AI101" s="330"/>
    </row>
    <row r="102" spans="1:35" x14ac:dyDescent="0.35">
      <c r="A102" s="330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30"/>
      <c r="AH102" s="330"/>
      <c r="AI102" s="330"/>
    </row>
    <row r="103" spans="1:35" x14ac:dyDescent="0.35">
      <c r="A103" s="330"/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</row>
    <row r="104" spans="1:35" x14ac:dyDescent="0.35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</row>
    <row r="105" spans="1:35" x14ac:dyDescent="0.35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</row>
    <row r="106" spans="1:35" x14ac:dyDescent="0.35">
      <c r="A106" s="330"/>
      <c r="B106" s="330"/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  <c r="AE106" s="330"/>
      <c r="AF106" s="330"/>
      <c r="AG106" s="330"/>
      <c r="AH106" s="330"/>
      <c r="AI106" s="330"/>
    </row>
    <row r="107" spans="1:35" x14ac:dyDescent="0.35">
      <c r="A107" s="330"/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</row>
    <row r="108" spans="1:35" x14ac:dyDescent="0.35">
      <c r="A108" s="330"/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</row>
    <row r="109" spans="1:35" x14ac:dyDescent="0.35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</row>
    <row r="110" spans="1:35" x14ac:dyDescent="0.35">
      <c r="A110" s="330"/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0"/>
    </row>
    <row r="111" spans="1:35" x14ac:dyDescent="0.35">
      <c r="A111" s="330"/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</row>
    <row r="112" spans="1:35" x14ac:dyDescent="0.35">
      <c r="A112" s="330"/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  <c r="AE112" s="330"/>
      <c r="AF112" s="330"/>
      <c r="AG112" s="330"/>
      <c r="AH112" s="330"/>
      <c r="AI112" s="330"/>
    </row>
    <row r="113" spans="1:35" x14ac:dyDescent="0.35">
      <c r="A113" s="330"/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</row>
    <row r="114" spans="1:35" x14ac:dyDescent="0.35">
      <c r="A114" s="330"/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</row>
    <row r="115" spans="1:35" x14ac:dyDescent="0.35">
      <c r="A115" s="330"/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30"/>
      <c r="AC115" s="330"/>
      <c r="AD115" s="330"/>
      <c r="AE115" s="330"/>
      <c r="AF115" s="330"/>
      <c r="AG115" s="330"/>
      <c r="AH115" s="330"/>
      <c r="AI115" s="330"/>
    </row>
    <row r="116" spans="1:35" x14ac:dyDescent="0.35">
      <c r="A116" s="330"/>
      <c r="B116" s="330"/>
      <c r="C116" s="330"/>
      <c r="D116" s="330"/>
      <c r="E116" s="330"/>
      <c r="F116" s="330"/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  <c r="AC116" s="330"/>
      <c r="AD116" s="330"/>
      <c r="AE116" s="330"/>
      <c r="AF116" s="330"/>
      <c r="AG116" s="330"/>
      <c r="AH116" s="330"/>
      <c r="AI116" s="330"/>
    </row>
    <row r="117" spans="1:35" x14ac:dyDescent="0.35">
      <c r="A117" s="330"/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</row>
  </sheetData>
  <sheetProtection sheet="1" objects="1" scenarios="1"/>
  <mergeCells count="8">
    <mergeCell ref="C4:F4"/>
    <mergeCell ref="Y42:Y44"/>
    <mergeCell ref="C5:W5"/>
    <mergeCell ref="C6:W6"/>
    <mergeCell ref="C7:W7"/>
    <mergeCell ref="F12:F13"/>
    <mergeCell ref="G12:G14"/>
    <mergeCell ref="V12:V14"/>
  </mergeCells>
  <dataValidations count="4">
    <dataValidation type="decimal" allowBlank="1" showInputMessage="1" showErrorMessage="1" sqref="I46:I54 H16:H37 H55">
      <formula1>0</formula1>
      <formula2>24</formula2>
    </dataValidation>
    <dataValidation type="whole" allowBlank="1" showInputMessage="1" showErrorMessage="1" sqref="C46:C55 C16:C37">
      <formula1>0</formula1>
      <formula2>3000</formula2>
    </dataValidation>
    <dataValidation type="list" allowBlank="1" showInputMessage="1" showErrorMessage="1" sqref="Q16:Q37 Q55">
      <formula1>$Q$12:$Q$14</formula1>
    </dataValidation>
    <dataValidation type="whole" allowBlank="1" showInputMessage="1" showErrorMessage="1" sqref="G46:H54 F16:G37 F55:G55">
      <formula1>0</formula1>
      <formula2>100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'RK-Infos'!$A$7:$A$236</xm:f>
          </x14:formula1>
          <xm:sqref>E46:E54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3"/>
  <sheetViews>
    <sheetView workbookViewId="0">
      <selection activeCell="G3" sqref="G3"/>
    </sheetView>
  </sheetViews>
  <sheetFormatPr baseColWidth="10" defaultRowHeight="14.5" x14ac:dyDescent="0.35"/>
  <cols>
    <col min="1" max="1" width="7.7265625" customWidth="1"/>
    <col min="2" max="2" width="7" customWidth="1"/>
    <col min="6" max="6" width="13.1796875" customWidth="1"/>
    <col min="7" max="7" width="12.7265625" customWidth="1"/>
    <col min="11" max="13" width="13.26953125" customWidth="1"/>
    <col min="16" max="16" width="15.26953125" customWidth="1"/>
  </cols>
  <sheetData>
    <row r="1" spans="1:12" x14ac:dyDescent="0.35">
      <c r="A1" s="1" t="s">
        <v>289</v>
      </c>
    </row>
    <row r="2" spans="1:12" ht="15" thickBot="1" x14ac:dyDescent="0.4">
      <c r="A2" s="1"/>
    </row>
    <row r="3" spans="1:12" x14ac:dyDescent="0.35">
      <c r="B3" s="13" t="s">
        <v>97</v>
      </c>
      <c r="C3" s="245" t="s">
        <v>290</v>
      </c>
      <c r="D3" s="245" t="s">
        <v>1</v>
      </c>
      <c r="E3" s="245" t="s">
        <v>291</v>
      </c>
      <c r="F3" s="437" t="s">
        <v>296</v>
      </c>
      <c r="G3" s="245" t="s">
        <v>292</v>
      </c>
      <c r="H3" s="245" t="s">
        <v>293</v>
      </c>
      <c r="I3" s="437" t="s">
        <v>601</v>
      </c>
      <c r="J3" s="437" t="s">
        <v>602</v>
      </c>
      <c r="K3" s="612" t="s">
        <v>12</v>
      </c>
      <c r="L3" s="613" t="s">
        <v>604</v>
      </c>
    </row>
    <row r="4" spans="1:12" ht="15" thickBot="1" x14ac:dyDescent="0.4">
      <c r="B4" s="439">
        <v>2022</v>
      </c>
      <c r="C4" s="440" t="s">
        <v>281</v>
      </c>
      <c r="D4" s="440">
        <v>1</v>
      </c>
      <c r="E4" s="441">
        <f>INDEX(C11:I73,B6,B5)</f>
        <v>6307.71</v>
      </c>
      <c r="F4" s="442">
        <v>0</v>
      </c>
      <c r="G4" s="442">
        <v>0</v>
      </c>
      <c r="H4" s="610">
        <f>G4+F4+E4</f>
        <v>6307.71</v>
      </c>
      <c r="I4" s="620" t="s">
        <v>51</v>
      </c>
      <c r="J4" s="621">
        <f>IF(I4="INTERREG",'Infos FoFö'!C91,IF(I4="Standard",'Infos FoFö'!C87,IF(I4="Horizon Europe / EU","Tagessatz nutzen","Nicht relevant")))</f>
        <v>1720</v>
      </c>
      <c r="K4" s="611">
        <f>IF(ISNUMBER(J4),H4*12/J4,"nicht relevant")</f>
        <v>44.007279069767442</v>
      </c>
      <c r="L4" s="609">
        <f>H4*12/'Infos FoFö'!C94</f>
        <v>352.05823255813954</v>
      </c>
    </row>
    <row r="5" spans="1:12" x14ac:dyDescent="0.35">
      <c r="A5" s="299" t="s">
        <v>294</v>
      </c>
      <c r="B5" s="299">
        <f>B4-2021</f>
        <v>1</v>
      </c>
    </row>
    <row r="6" spans="1:12" x14ac:dyDescent="0.35">
      <c r="A6" s="299" t="s">
        <v>295</v>
      </c>
      <c r="B6" s="299">
        <f>IF(C4="W1",1,IF(C4="W2",2,IF(C4="W3",3,IF(D4=0,"Fehler",IF(C4="C1",3+D4,IF(C4="C2",18+D4,IF(C4="C3",33+D4,48+D4)))))))</f>
        <v>2</v>
      </c>
    </row>
    <row r="7" spans="1:12" ht="15" thickBot="1" x14ac:dyDescent="0.4"/>
    <row r="8" spans="1:12" ht="15" thickBot="1" x14ac:dyDescent="0.4">
      <c r="A8" s="73"/>
      <c r="B8" s="51"/>
      <c r="C8" s="973" t="s">
        <v>287</v>
      </c>
      <c r="D8" s="973"/>
      <c r="E8" s="973"/>
      <c r="F8" s="973"/>
      <c r="G8" s="973"/>
      <c r="H8" s="973"/>
      <c r="I8" s="974"/>
    </row>
    <row r="9" spans="1:12" x14ac:dyDescent="0.35">
      <c r="A9" s="74"/>
      <c r="B9" s="4"/>
      <c r="C9" s="6" t="s">
        <v>595</v>
      </c>
      <c r="D9" s="6" t="s">
        <v>595</v>
      </c>
      <c r="E9" s="425">
        <v>2.3E-2</v>
      </c>
      <c r="F9" s="425">
        <v>2.3E-2</v>
      </c>
      <c r="G9" s="425">
        <v>2.3E-2</v>
      </c>
      <c r="H9" s="425">
        <v>2.3E-2</v>
      </c>
      <c r="I9" s="427">
        <v>2.3E-2</v>
      </c>
      <c r="K9" s="434" t="s">
        <v>280</v>
      </c>
    </row>
    <row r="10" spans="1:12" x14ac:dyDescent="0.35">
      <c r="A10" s="74"/>
      <c r="B10" s="4"/>
      <c r="C10" s="7">
        <v>2022</v>
      </c>
      <c r="D10" s="7">
        <v>2023</v>
      </c>
      <c r="E10" s="7">
        <v>2024</v>
      </c>
      <c r="F10" s="7">
        <v>2025</v>
      </c>
      <c r="G10" s="7">
        <v>2026</v>
      </c>
      <c r="H10" s="7">
        <v>2027</v>
      </c>
      <c r="I10" s="428">
        <v>2028</v>
      </c>
      <c r="K10" s="435" t="s">
        <v>281</v>
      </c>
    </row>
    <row r="11" spans="1:12" x14ac:dyDescent="0.35">
      <c r="A11" s="53" t="s">
        <v>280</v>
      </c>
      <c r="B11" s="6">
        <v>0</v>
      </c>
      <c r="C11" s="424">
        <v>4793.01</v>
      </c>
      <c r="D11" s="424">
        <v>4927.21</v>
      </c>
      <c r="E11" s="264">
        <f>D11*(1+E$9)</f>
        <v>5040.5358299999998</v>
      </c>
      <c r="F11" s="264">
        <f t="shared" ref="F11:I11" si="0">E11*(1+F$9)</f>
        <v>5156.4681540899992</v>
      </c>
      <c r="G11" s="264">
        <f t="shared" si="0"/>
        <v>5275.0669216340684</v>
      </c>
      <c r="H11" s="264">
        <f t="shared" si="0"/>
        <v>5396.3934608316513</v>
      </c>
      <c r="I11" s="429">
        <f t="shared" si="0"/>
        <v>5520.5105104307786</v>
      </c>
      <c r="K11" s="435" t="s">
        <v>282</v>
      </c>
    </row>
    <row r="12" spans="1:12" x14ac:dyDescent="0.35">
      <c r="A12" s="53" t="s">
        <v>281</v>
      </c>
      <c r="B12" s="6">
        <v>0</v>
      </c>
      <c r="C12" s="424">
        <v>6307.71</v>
      </c>
      <c r="D12" s="424">
        <v>6484.33</v>
      </c>
      <c r="E12" s="264">
        <f t="shared" ref="E12:I12" si="1">D12*(1+E$9)</f>
        <v>6633.4695899999997</v>
      </c>
      <c r="F12" s="264">
        <f t="shared" si="1"/>
        <v>6786.0393905699993</v>
      </c>
      <c r="G12" s="264">
        <f t="shared" si="1"/>
        <v>6942.1182965531088</v>
      </c>
      <c r="H12" s="264">
        <f t="shared" si="1"/>
        <v>7101.7870173738302</v>
      </c>
      <c r="I12" s="429">
        <f t="shared" si="1"/>
        <v>7265.1281187734276</v>
      </c>
      <c r="K12" s="435" t="s">
        <v>285</v>
      </c>
    </row>
    <row r="13" spans="1:12" x14ac:dyDescent="0.35">
      <c r="A13" s="53" t="s">
        <v>282</v>
      </c>
      <c r="B13" s="6">
        <v>0</v>
      </c>
      <c r="C13" s="424">
        <v>6967.42</v>
      </c>
      <c r="D13" s="424">
        <v>7162.51</v>
      </c>
      <c r="E13" s="264">
        <f t="shared" ref="E13:I13" si="2">D13*(1+E$9)</f>
        <v>7327.2477299999991</v>
      </c>
      <c r="F13" s="264">
        <f t="shared" si="2"/>
        <v>7495.7744277899983</v>
      </c>
      <c r="G13" s="264">
        <f t="shared" si="2"/>
        <v>7668.1772396291672</v>
      </c>
      <c r="H13" s="264">
        <f t="shared" si="2"/>
        <v>7844.5453161406376</v>
      </c>
      <c r="I13" s="429">
        <f t="shared" si="2"/>
        <v>8024.9698584118714</v>
      </c>
      <c r="K13" s="435" t="s">
        <v>286</v>
      </c>
    </row>
    <row r="14" spans="1:12" x14ac:dyDescent="0.35">
      <c r="A14" s="53" t="s">
        <v>285</v>
      </c>
      <c r="B14" s="6">
        <v>1</v>
      </c>
      <c r="C14" s="424">
        <v>3825.33</v>
      </c>
      <c r="D14" s="424">
        <v>3932.44</v>
      </c>
      <c r="E14" s="264">
        <f t="shared" ref="E14:I14" si="3">D14*(1+E$9)</f>
        <v>4022.8861199999997</v>
      </c>
      <c r="F14" s="264">
        <f t="shared" si="3"/>
        <v>4115.4125007599996</v>
      </c>
      <c r="G14" s="264">
        <f t="shared" si="3"/>
        <v>4210.0669882774791</v>
      </c>
      <c r="H14" s="264">
        <f t="shared" si="3"/>
        <v>4306.8985290078608</v>
      </c>
      <c r="I14" s="429">
        <f t="shared" si="3"/>
        <v>4405.9571951750413</v>
      </c>
      <c r="K14" s="435" t="s">
        <v>283</v>
      </c>
    </row>
    <row r="15" spans="1:12" ht="15" thickBot="1" x14ac:dyDescent="0.4">
      <c r="A15" s="53" t="s">
        <v>285</v>
      </c>
      <c r="B15" s="6">
        <v>2</v>
      </c>
      <c r="C15" s="424">
        <v>3951.52</v>
      </c>
      <c r="D15" s="424">
        <v>4062.16</v>
      </c>
      <c r="E15" s="264">
        <f t="shared" ref="E15:I15" si="4">D15*(1+E$9)</f>
        <v>4155.5896799999991</v>
      </c>
      <c r="F15" s="264">
        <f t="shared" si="4"/>
        <v>4251.1682426399984</v>
      </c>
      <c r="G15" s="264">
        <f t="shared" si="4"/>
        <v>4348.9451122207183</v>
      </c>
      <c r="H15" s="264">
        <f t="shared" si="4"/>
        <v>4448.9708498017944</v>
      </c>
      <c r="I15" s="429">
        <f t="shared" si="4"/>
        <v>4551.2971793472352</v>
      </c>
      <c r="K15" s="436" t="s">
        <v>284</v>
      </c>
    </row>
    <row r="16" spans="1:12" x14ac:dyDescent="0.35">
      <c r="A16" s="53" t="s">
        <v>285</v>
      </c>
      <c r="B16" s="6">
        <v>3</v>
      </c>
      <c r="C16" s="424">
        <v>4078.3</v>
      </c>
      <c r="D16" s="424">
        <v>4192.49</v>
      </c>
      <c r="E16" s="264">
        <f t="shared" ref="E16:I16" si="5">D16*(1+E$9)</f>
        <v>4288.917269999999</v>
      </c>
      <c r="F16" s="264">
        <f t="shared" si="5"/>
        <v>4387.5623672099982</v>
      </c>
      <c r="G16" s="264">
        <f t="shared" si="5"/>
        <v>4488.4763016558281</v>
      </c>
      <c r="H16" s="264">
        <f t="shared" si="5"/>
        <v>4591.7112565939115</v>
      </c>
      <c r="I16" s="429">
        <f t="shared" si="5"/>
        <v>4697.3206154955706</v>
      </c>
    </row>
    <row r="17" spans="1:10" x14ac:dyDescent="0.35">
      <c r="A17" s="53" t="s">
        <v>285</v>
      </c>
      <c r="B17" s="6">
        <v>4</v>
      </c>
      <c r="C17" s="424">
        <v>4205.1099999999997</v>
      </c>
      <c r="D17" s="424">
        <v>4322.8500000000004</v>
      </c>
      <c r="E17" s="264">
        <f t="shared" ref="E17:I17" si="6">D17*(1+E$9)</f>
        <v>4422.2755500000003</v>
      </c>
      <c r="F17" s="264">
        <f t="shared" si="6"/>
        <v>4523.9878876499997</v>
      </c>
      <c r="G17" s="264">
        <f t="shared" si="6"/>
        <v>4628.0396090659497</v>
      </c>
      <c r="H17" s="264">
        <f t="shared" si="6"/>
        <v>4734.4845200744658</v>
      </c>
      <c r="I17" s="429">
        <f t="shared" si="6"/>
        <v>4843.3776640361784</v>
      </c>
    </row>
    <row r="18" spans="1:10" x14ac:dyDescent="0.35">
      <c r="A18" s="53" t="s">
        <v>285</v>
      </c>
      <c r="B18" s="6">
        <v>5</v>
      </c>
      <c r="C18" s="424">
        <v>4334.04</v>
      </c>
      <c r="D18" s="424">
        <v>4455.3900000000003</v>
      </c>
      <c r="E18" s="264">
        <f t="shared" ref="E18:I18" si="7">D18*(1+E$9)</f>
        <v>4557.8639700000003</v>
      </c>
      <c r="F18" s="264">
        <f t="shared" si="7"/>
        <v>4662.6948413099999</v>
      </c>
      <c r="G18" s="264">
        <f t="shared" si="7"/>
        <v>4769.9368226601291</v>
      </c>
      <c r="H18" s="264">
        <f t="shared" si="7"/>
        <v>4879.6453695813116</v>
      </c>
      <c r="I18" s="429">
        <f t="shared" si="7"/>
        <v>4991.8772130816815</v>
      </c>
    </row>
    <row r="19" spans="1:10" x14ac:dyDescent="0.35">
      <c r="A19" s="53" t="s">
        <v>285</v>
      </c>
      <c r="B19" s="6">
        <v>6</v>
      </c>
      <c r="C19" s="424">
        <v>4463.3999999999996</v>
      </c>
      <c r="D19" s="424">
        <v>4588.38</v>
      </c>
      <c r="E19" s="264">
        <f t="shared" ref="E19:I19" si="8">D19*(1+E$9)</f>
        <v>4693.9127399999998</v>
      </c>
      <c r="F19" s="264">
        <f t="shared" si="8"/>
        <v>4801.872733019999</v>
      </c>
      <c r="G19" s="264">
        <f t="shared" si="8"/>
        <v>4912.3158058794588</v>
      </c>
      <c r="H19" s="264">
        <f t="shared" si="8"/>
        <v>5025.2990694146856</v>
      </c>
      <c r="I19" s="429">
        <f t="shared" si="8"/>
        <v>5140.8809480112232</v>
      </c>
    </row>
    <row r="20" spans="1:10" x14ac:dyDescent="0.35">
      <c r="A20" s="53" t="s">
        <v>285</v>
      </c>
      <c r="B20" s="6">
        <v>7</v>
      </c>
      <c r="C20" s="424">
        <v>4592.7299999999996</v>
      </c>
      <c r="D20" s="424">
        <v>4721.33</v>
      </c>
      <c r="E20" s="264">
        <f t="shared" ref="E20:I20" si="9">D20*(1+E$9)</f>
        <v>4829.9205899999997</v>
      </c>
      <c r="F20" s="264">
        <f t="shared" si="9"/>
        <v>4941.0087635699992</v>
      </c>
      <c r="G20" s="264">
        <f t="shared" si="9"/>
        <v>5054.6519651321087</v>
      </c>
      <c r="H20" s="264">
        <f t="shared" si="9"/>
        <v>5170.9089603301463</v>
      </c>
      <c r="I20" s="429">
        <f t="shared" si="9"/>
        <v>5289.8398664177394</v>
      </c>
    </row>
    <row r="21" spans="1:10" x14ac:dyDescent="0.35">
      <c r="A21" s="53" t="s">
        <v>285</v>
      </c>
      <c r="B21" s="6">
        <v>8</v>
      </c>
      <c r="C21" s="424">
        <v>4722.09</v>
      </c>
      <c r="D21" s="424">
        <v>4854.3100000000004</v>
      </c>
      <c r="E21" s="264">
        <f t="shared" ref="E21:I21" si="10">D21*(1+E$9)</f>
        <v>4965.9591300000002</v>
      </c>
      <c r="F21" s="264">
        <f t="shared" si="10"/>
        <v>5080.1761899899993</v>
      </c>
      <c r="G21" s="264">
        <f t="shared" si="10"/>
        <v>5197.0202423597684</v>
      </c>
      <c r="H21" s="264">
        <f t="shared" si="10"/>
        <v>5316.5517079340425</v>
      </c>
      <c r="I21" s="429">
        <f t="shared" si="10"/>
        <v>5438.8323972165254</v>
      </c>
    </row>
    <row r="22" spans="1:10" x14ac:dyDescent="0.35">
      <c r="A22" s="53" t="s">
        <v>285</v>
      </c>
      <c r="B22" s="6">
        <v>9</v>
      </c>
      <c r="C22" s="424">
        <v>4851.42</v>
      </c>
      <c r="D22" s="424">
        <v>4987.26</v>
      </c>
      <c r="E22" s="264">
        <f t="shared" ref="E22:I22" si="11">D22*(1+E$9)</f>
        <v>5101.9669800000001</v>
      </c>
      <c r="F22" s="264">
        <f t="shared" si="11"/>
        <v>5219.3122205399995</v>
      </c>
      <c r="G22" s="264">
        <f t="shared" si="11"/>
        <v>5339.3564016124192</v>
      </c>
      <c r="H22" s="264">
        <f t="shared" si="11"/>
        <v>5462.1615988495041</v>
      </c>
      <c r="I22" s="429">
        <f t="shared" si="11"/>
        <v>5587.7913156230425</v>
      </c>
    </row>
    <row r="23" spans="1:10" x14ac:dyDescent="0.35">
      <c r="A23" s="53" t="s">
        <v>285</v>
      </c>
      <c r="B23" s="6">
        <v>10</v>
      </c>
      <c r="C23" s="424">
        <v>4980.51</v>
      </c>
      <c r="D23" s="424">
        <v>5119.96</v>
      </c>
      <c r="E23" s="264">
        <f t="shared" ref="E23:I23" si="12">D23*(1+E$9)</f>
        <v>5237.7190799999998</v>
      </c>
      <c r="F23" s="264">
        <f t="shared" si="12"/>
        <v>5358.186618839999</v>
      </c>
      <c r="G23" s="264">
        <f t="shared" si="12"/>
        <v>5481.4249110733181</v>
      </c>
      <c r="H23" s="264">
        <f t="shared" si="12"/>
        <v>5607.4976840280042</v>
      </c>
      <c r="I23" s="429">
        <f t="shared" si="12"/>
        <v>5736.4701307606474</v>
      </c>
    </row>
    <row r="24" spans="1:10" x14ac:dyDescent="0.35">
      <c r="A24" s="53" t="s">
        <v>285</v>
      </c>
      <c r="B24" s="6">
        <v>11</v>
      </c>
      <c r="C24" s="424">
        <v>5110.13</v>
      </c>
      <c r="D24" s="424">
        <v>5253.21</v>
      </c>
      <c r="E24" s="264">
        <f t="shared" ref="E24:I24" si="13">D24*(1+E$9)</f>
        <v>5374.0338299999994</v>
      </c>
      <c r="F24" s="264">
        <f t="shared" si="13"/>
        <v>5497.6366080899988</v>
      </c>
      <c r="G24" s="264">
        <f t="shared" si="13"/>
        <v>5624.0822500760687</v>
      </c>
      <c r="H24" s="264">
        <f t="shared" si="13"/>
        <v>5753.4361418278177</v>
      </c>
      <c r="I24" s="429">
        <f t="shared" si="13"/>
        <v>5885.7651730898569</v>
      </c>
    </row>
    <row r="25" spans="1:10" x14ac:dyDescent="0.35">
      <c r="A25" s="53" t="s">
        <v>285</v>
      </c>
      <c r="B25" s="6">
        <v>12</v>
      </c>
      <c r="C25" s="424">
        <v>5239.5</v>
      </c>
      <c r="D25" s="424">
        <v>5386.21</v>
      </c>
      <c r="E25" s="264">
        <f t="shared" ref="E25:I25" si="14">D25*(1+E$9)</f>
        <v>5510.0928299999996</v>
      </c>
      <c r="F25" s="264">
        <f t="shared" si="14"/>
        <v>5636.8249650899988</v>
      </c>
      <c r="G25" s="264">
        <f t="shared" si="14"/>
        <v>5766.4719392870684</v>
      </c>
      <c r="H25" s="264">
        <f t="shared" si="14"/>
        <v>5899.1007938906705</v>
      </c>
      <c r="I25" s="429">
        <f t="shared" si="14"/>
        <v>6034.7801121501552</v>
      </c>
    </row>
    <row r="26" spans="1:10" x14ac:dyDescent="0.35">
      <c r="A26" s="53" t="s">
        <v>285</v>
      </c>
      <c r="B26" s="6">
        <v>13</v>
      </c>
      <c r="C26" s="424">
        <v>5382.55</v>
      </c>
      <c r="D26" s="424">
        <v>5533.26</v>
      </c>
      <c r="E26" s="264">
        <f t="shared" ref="E26:I26" si="15">D26*(1+E$9)</f>
        <v>5660.5249800000001</v>
      </c>
      <c r="F26" s="264">
        <f t="shared" si="15"/>
        <v>5790.7170545399995</v>
      </c>
      <c r="G26" s="264">
        <f t="shared" si="15"/>
        <v>5923.9035467944186</v>
      </c>
      <c r="H26" s="264">
        <f t="shared" si="15"/>
        <v>6060.1533283706895</v>
      </c>
      <c r="I26" s="429">
        <f t="shared" si="15"/>
        <v>6199.5368549232144</v>
      </c>
    </row>
    <row r="27" spans="1:10" x14ac:dyDescent="0.35">
      <c r="A27" s="53" t="s">
        <v>285</v>
      </c>
      <c r="B27" s="6">
        <v>14</v>
      </c>
      <c r="C27" s="424">
        <v>5498.22</v>
      </c>
      <c r="D27" s="424">
        <v>5652.17</v>
      </c>
      <c r="E27" s="264">
        <f t="shared" ref="E27:I27" si="16">D27*(1+E$9)</f>
        <v>5782.1699099999996</v>
      </c>
      <c r="F27" s="264">
        <f t="shared" si="16"/>
        <v>5915.159817929999</v>
      </c>
      <c r="G27" s="264">
        <f t="shared" si="16"/>
        <v>6051.2084937423888</v>
      </c>
      <c r="H27" s="264">
        <f t="shared" si="16"/>
        <v>6190.3862890984628</v>
      </c>
      <c r="I27" s="429">
        <f t="shared" si="16"/>
        <v>6332.7651737477272</v>
      </c>
    </row>
    <row r="28" spans="1:10" x14ac:dyDescent="0.35">
      <c r="A28" s="53" t="s">
        <v>285</v>
      </c>
      <c r="B28" s="6">
        <v>15</v>
      </c>
      <c r="C28" s="424">
        <v>0</v>
      </c>
      <c r="D28" s="424">
        <v>0</v>
      </c>
      <c r="E28" s="264">
        <f t="shared" ref="E28:I28" si="17">D28*(1+E$9)</f>
        <v>0</v>
      </c>
      <c r="F28" s="264">
        <f t="shared" si="17"/>
        <v>0</v>
      </c>
      <c r="G28" s="264">
        <f t="shared" si="17"/>
        <v>0</v>
      </c>
      <c r="H28" s="264">
        <f t="shared" si="17"/>
        <v>0</v>
      </c>
      <c r="I28" s="429">
        <f t="shared" si="17"/>
        <v>0</v>
      </c>
      <c r="J28" s="411"/>
    </row>
    <row r="29" spans="1:10" x14ac:dyDescent="0.35">
      <c r="A29" s="53" t="s">
        <v>286</v>
      </c>
      <c r="B29" s="6">
        <v>1</v>
      </c>
      <c r="C29" s="424">
        <v>3833.07</v>
      </c>
      <c r="D29" s="424">
        <v>3940.4</v>
      </c>
      <c r="E29" s="264">
        <f t="shared" ref="E29:I29" si="18">D29*(1+E$9)</f>
        <v>4031.0291999999999</v>
      </c>
      <c r="F29" s="264">
        <f t="shared" si="18"/>
        <v>4123.7428715999995</v>
      </c>
      <c r="G29" s="264">
        <f t="shared" si="18"/>
        <v>4218.5889576467989</v>
      </c>
      <c r="H29" s="264">
        <f t="shared" si="18"/>
        <v>4315.6165036726752</v>
      </c>
      <c r="I29" s="429">
        <f t="shared" si="18"/>
        <v>4414.8756832571462</v>
      </c>
    </row>
    <row r="30" spans="1:10" x14ac:dyDescent="0.35">
      <c r="A30" s="53" t="s">
        <v>286</v>
      </c>
      <c r="B30" s="6">
        <v>2</v>
      </c>
      <c r="C30" s="424">
        <v>4034.68</v>
      </c>
      <c r="D30" s="424">
        <v>4147.6499999999996</v>
      </c>
      <c r="E30" s="264">
        <f t="shared" ref="E30:I30" si="19">D30*(1+E$9)</f>
        <v>4243.0459499999988</v>
      </c>
      <c r="F30" s="264">
        <f t="shared" si="19"/>
        <v>4340.636006849998</v>
      </c>
      <c r="G30" s="264">
        <f t="shared" si="19"/>
        <v>4440.4706350075476</v>
      </c>
      <c r="H30" s="264">
        <f t="shared" si="19"/>
        <v>4542.6014596127206</v>
      </c>
      <c r="I30" s="429">
        <f t="shared" si="19"/>
        <v>4647.0812931838127</v>
      </c>
    </row>
    <row r="31" spans="1:10" x14ac:dyDescent="0.35">
      <c r="A31" s="53" t="s">
        <v>286</v>
      </c>
      <c r="B31" s="6">
        <v>3</v>
      </c>
      <c r="C31" s="424">
        <v>4236.96</v>
      </c>
      <c r="D31" s="424">
        <v>4355.59</v>
      </c>
      <c r="E31" s="264">
        <f t="shared" ref="E31:I31" si="20">D31*(1+E$9)</f>
        <v>4455.7685700000002</v>
      </c>
      <c r="F31" s="264">
        <f t="shared" si="20"/>
        <v>4558.2512471099999</v>
      </c>
      <c r="G31" s="264">
        <f t="shared" si="20"/>
        <v>4663.0910257935293</v>
      </c>
      <c r="H31" s="264">
        <f t="shared" si="20"/>
        <v>4770.3421193867798</v>
      </c>
      <c r="I31" s="429">
        <f t="shared" si="20"/>
        <v>4880.0599881326752</v>
      </c>
    </row>
    <row r="32" spans="1:10" x14ac:dyDescent="0.35">
      <c r="A32" s="53" t="s">
        <v>286</v>
      </c>
      <c r="B32" s="6">
        <v>4</v>
      </c>
      <c r="C32" s="424">
        <v>4443.16</v>
      </c>
      <c r="D32" s="424">
        <v>4567.57</v>
      </c>
      <c r="E32" s="264">
        <f t="shared" ref="E32:I32" si="21">D32*(1+E$9)</f>
        <v>4672.6241099999988</v>
      </c>
      <c r="F32" s="264">
        <f t="shared" si="21"/>
        <v>4780.0944645299987</v>
      </c>
      <c r="G32" s="264">
        <f t="shared" si="21"/>
        <v>4890.036637214188</v>
      </c>
      <c r="H32" s="264">
        <f t="shared" si="21"/>
        <v>5002.5074798701135</v>
      </c>
      <c r="I32" s="429">
        <f t="shared" si="21"/>
        <v>5117.5651519071253</v>
      </c>
    </row>
    <row r="33" spans="1:9" x14ac:dyDescent="0.35">
      <c r="A33" s="53" t="s">
        <v>286</v>
      </c>
      <c r="B33" s="6">
        <v>5</v>
      </c>
      <c r="C33" s="424">
        <v>4649.2700000000004</v>
      </c>
      <c r="D33" s="424">
        <v>4779.45</v>
      </c>
      <c r="E33" s="264">
        <f t="shared" ref="E33:I33" si="22">D33*(1+E$9)</f>
        <v>4889.3773499999998</v>
      </c>
      <c r="F33" s="264">
        <f t="shared" si="22"/>
        <v>5001.8330290499989</v>
      </c>
      <c r="G33" s="264">
        <f t="shared" si="22"/>
        <v>5116.8751887181488</v>
      </c>
      <c r="H33" s="264">
        <f t="shared" si="22"/>
        <v>5234.5633180586656</v>
      </c>
      <c r="I33" s="429">
        <f t="shared" si="22"/>
        <v>5354.9582743740148</v>
      </c>
    </row>
    <row r="34" spans="1:9" x14ac:dyDescent="0.35">
      <c r="A34" s="53" t="s">
        <v>286</v>
      </c>
      <c r="B34" s="6">
        <v>6</v>
      </c>
      <c r="C34" s="424">
        <v>4855.42</v>
      </c>
      <c r="D34" s="424">
        <v>4991.37</v>
      </c>
      <c r="E34" s="264">
        <f t="shared" ref="E34:I34" si="23">D34*(1+E$9)</f>
        <v>5106.1715099999992</v>
      </c>
      <c r="F34" s="264">
        <f t="shared" si="23"/>
        <v>5223.6134547299989</v>
      </c>
      <c r="G34" s="264">
        <f t="shared" si="23"/>
        <v>5343.7565641887886</v>
      </c>
      <c r="H34" s="264">
        <f t="shared" si="23"/>
        <v>5466.6629651651301</v>
      </c>
      <c r="I34" s="429">
        <f t="shared" si="23"/>
        <v>5592.3962133639279</v>
      </c>
    </row>
    <row r="35" spans="1:9" x14ac:dyDescent="0.35">
      <c r="A35" s="53" t="s">
        <v>286</v>
      </c>
      <c r="B35" s="6">
        <v>7</v>
      </c>
      <c r="C35" s="424">
        <v>5061.57</v>
      </c>
      <c r="D35" s="424">
        <v>5203.29</v>
      </c>
      <c r="E35" s="264">
        <f t="shared" ref="E35:I35" si="24">D35*(1+E$9)</f>
        <v>5322.9656699999996</v>
      </c>
      <c r="F35" s="264">
        <f t="shared" si="24"/>
        <v>5445.3938804099989</v>
      </c>
      <c r="G35" s="264">
        <f t="shared" si="24"/>
        <v>5570.6379396594284</v>
      </c>
      <c r="H35" s="264">
        <f t="shared" si="24"/>
        <v>5698.7626122715947</v>
      </c>
      <c r="I35" s="429">
        <f t="shared" si="24"/>
        <v>5829.8341523538411</v>
      </c>
    </row>
    <row r="36" spans="1:9" x14ac:dyDescent="0.35">
      <c r="A36" s="53" t="s">
        <v>286</v>
      </c>
      <c r="B36" s="6">
        <v>8</v>
      </c>
      <c r="C36" s="424">
        <v>5267.73</v>
      </c>
      <c r="D36" s="424">
        <v>5415.23</v>
      </c>
      <c r="E36" s="264">
        <f t="shared" ref="E36:I36" si="25">D36*(1+E$9)</f>
        <v>5539.7802899999988</v>
      </c>
      <c r="F36" s="264">
        <f t="shared" si="25"/>
        <v>5667.1952366699979</v>
      </c>
      <c r="G36" s="264">
        <f t="shared" si="25"/>
        <v>5797.5407271134072</v>
      </c>
      <c r="H36" s="264">
        <f t="shared" si="25"/>
        <v>5930.884163837015</v>
      </c>
      <c r="I36" s="429">
        <f t="shared" si="25"/>
        <v>6067.2944996052656</v>
      </c>
    </row>
    <row r="37" spans="1:9" x14ac:dyDescent="0.35">
      <c r="A37" s="53" t="s">
        <v>286</v>
      </c>
      <c r="B37" s="6">
        <v>9</v>
      </c>
      <c r="C37" s="424">
        <v>5473.86</v>
      </c>
      <c r="D37" s="424">
        <v>5627.13</v>
      </c>
      <c r="E37" s="264">
        <f t="shared" ref="E37:I37" si="26">D37*(1+E$9)</f>
        <v>5756.5539899999994</v>
      </c>
      <c r="F37" s="264">
        <f t="shared" si="26"/>
        <v>5888.9547317699989</v>
      </c>
      <c r="G37" s="264">
        <f t="shared" si="26"/>
        <v>6024.400690600708</v>
      </c>
      <c r="H37" s="264">
        <f t="shared" si="26"/>
        <v>6162.9619064845238</v>
      </c>
      <c r="I37" s="429">
        <f t="shared" si="26"/>
        <v>6304.7100303336674</v>
      </c>
    </row>
    <row r="38" spans="1:9" x14ac:dyDescent="0.35">
      <c r="A38" s="53" t="s">
        <v>286</v>
      </c>
      <c r="B38" s="6">
        <v>10</v>
      </c>
      <c r="C38" s="424">
        <v>5680.02</v>
      </c>
      <c r="D38" s="424">
        <v>5839.06</v>
      </c>
      <c r="E38" s="264">
        <f t="shared" ref="E38:I38" si="27">D38*(1+E$9)</f>
        <v>5973.3583799999997</v>
      </c>
      <c r="F38" s="264">
        <f t="shared" si="27"/>
        <v>6110.7456227399989</v>
      </c>
      <c r="G38" s="264">
        <f t="shared" si="27"/>
        <v>6251.2927720630187</v>
      </c>
      <c r="H38" s="264">
        <f t="shared" si="27"/>
        <v>6395.0725058204671</v>
      </c>
      <c r="I38" s="429">
        <f t="shared" si="27"/>
        <v>6542.1591734543372</v>
      </c>
    </row>
    <row r="39" spans="1:9" x14ac:dyDescent="0.35">
      <c r="A39" s="53" t="s">
        <v>286</v>
      </c>
      <c r="B39" s="6">
        <v>11</v>
      </c>
      <c r="C39" s="424">
        <v>5886.18</v>
      </c>
      <c r="D39" s="424">
        <v>6050.99</v>
      </c>
      <c r="E39" s="264">
        <f t="shared" ref="E39:I39" si="28">D39*(1+E$9)</f>
        <v>6190.162769999999</v>
      </c>
      <c r="F39" s="264">
        <f t="shared" si="28"/>
        <v>6332.536513709998</v>
      </c>
      <c r="G39" s="264">
        <f t="shared" si="28"/>
        <v>6478.1848535253275</v>
      </c>
      <c r="H39" s="264">
        <f t="shared" si="28"/>
        <v>6627.1831051564095</v>
      </c>
      <c r="I39" s="429">
        <f t="shared" si="28"/>
        <v>6779.608316575006</v>
      </c>
    </row>
    <row r="40" spans="1:9" x14ac:dyDescent="0.35">
      <c r="A40" s="53" t="s">
        <v>286</v>
      </c>
      <c r="B40" s="6">
        <v>12</v>
      </c>
      <c r="C40" s="424">
        <v>6092.3</v>
      </c>
      <c r="D40" s="424">
        <v>6262.88</v>
      </c>
      <c r="E40" s="264">
        <f t="shared" ref="E40:I40" si="29">D40*(1+E$9)</f>
        <v>6406.9262399999998</v>
      </c>
      <c r="F40" s="264">
        <f t="shared" si="29"/>
        <v>6554.285543519999</v>
      </c>
      <c r="G40" s="264">
        <f t="shared" si="29"/>
        <v>6705.0341110209583</v>
      </c>
      <c r="H40" s="264">
        <f t="shared" si="29"/>
        <v>6859.2498955744395</v>
      </c>
      <c r="I40" s="429">
        <f t="shared" si="29"/>
        <v>7017.0126431726512</v>
      </c>
    </row>
    <row r="41" spans="1:9" x14ac:dyDescent="0.35">
      <c r="A41" s="53" t="s">
        <v>286</v>
      </c>
      <c r="B41" s="6">
        <v>13</v>
      </c>
      <c r="C41" s="424">
        <v>6298.44</v>
      </c>
      <c r="D41" s="424">
        <v>6474.8</v>
      </c>
      <c r="E41" s="264">
        <f t="shared" ref="E41:I41" si="30">D41*(1+E$9)</f>
        <v>6623.7203999999992</v>
      </c>
      <c r="F41" s="264">
        <f t="shared" si="30"/>
        <v>6776.065969199999</v>
      </c>
      <c r="G41" s="264">
        <f t="shared" si="30"/>
        <v>6931.9154864915981</v>
      </c>
      <c r="H41" s="264">
        <f t="shared" si="30"/>
        <v>7091.3495426809041</v>
      </c>
      <c r="I41" s="429">
        <f t="shared" si="30"/>
        <v>7254.4505821625644</v>
      </c>
    </row>
    <row r="42" spans="1:9" x14ac:dyDescent="0.35">
      <c r="A42" s="53" t="s">
        <v>286</v>
      </c>
      <c r="B42" s="6">
        <v>14</v>
      </c>
      <c r="C42" s="424">
        <v>6504.61</v>
      </c>
      <c r="D42" s="424">
        <v>6686.74</v>
      </c>
      <c r="E42" s="264">
        <f t="shared" ref="E42:I42" si="31">D42*(1+E$9)</f>
        <v>6840.5350199999993</v>
      </c>
      <c r="F42" s="264">
        <f t="shared" si="31"/>
        <v>6997.8673254599989</v>
      </c>
      <c r="G42" s="264">
        <f t="shared" si="31"/>
        <v>7158.8182739455779</v>
      </c>
      <c r="H42" s="264">
        <f t="shared" si="31"/>
        <v>7323.4710942463253</v>
      </c>
      <c r="I42" s="429">
        <f t="shared" si="31"/>
        <v>7491.9109294139898</v>
      </c>
    </row>
    <row r="43" spans="1:9" x14ac:dyDescent="0.35">
      <c r="A43" s="53" t="s">
        <v>286</v>
      </c>
      <c r="B43" s="6">
        <v>15</v>
      </c>
      <c r="C43" s="424">
        <v>6710.76</v>
      </c>
      <c r="D43" s="424">
        <v>6898.66</v>
      </c>
      <c r="E43" s="264">
        <f t="shared" ref="E43:I43" si="32">D43*(1+E$9)</f>
        <v>7057.3291799999988</v>
      </c>
      <c r="F43" s="264">
        <f t="shared" si="32"/>
        <v>7219.647751139998</v>
      </c>
      <c r="G43" s="264">
        <f t="shared" si="32"/>
        <v>7385.6996494162177</v>
      </c>
      <c r="H43" s="264">
        <f t="shared" si="32"/>
        <v>7555.5707413527898</v>
      </c>
      <c r="I43" s="429">
        <f t="shared" si="32"/>
        <v>7729.348868403903</v>
      </c>
    </row>
    <row r="44" spans="1:9" x14ac:dyDescent="0.35">
      <c r="A44" s="53" t="s">
        <v>283</v>
      </c>
      <c r="B44" s="6">
        <v>1</v>
      </c>
      <c r="C44" s="424">
        <v>4198.8100000000004</v>
      </c>
      <c r="D44" s="424">
        <v>4316.38</v>
      </c>
      <c r="E44" s="264">
        <f t="shared" ref="E44:I44" si="33">D44*(1+E$9)</f>
        <v>4415.6567399999994</v>
      </c>
      <c r="F44" s="264">
        <f t="shared" si="33"/>
        <v>4517.2168450199988</v>
      </c>
      <c r="G44" s="264">
        <f t="shared" si="33"/>
        <v>4621.1128324554584</v>
      </c>
      <c r="H44" s="264">
        <f t="shared" si="33"/>
        <v>4727.3984276019337</v>
      </c>
      <c r="I44" s="429">
        <f t="shared" si="33"/>
        <v>4836.1285914367782</v>
      </c>
    </row>
    <row r="45" spans="1:9" x14ac:dyDescent="0.35">
      <c r="A45" s="53" t="s">
        <v>283</v>
      </c>
      <c r="B45" s="6">
        <v>2</v>
      </c>
      <c r="C45" s="424">
        <v>4431.6499999999996</v>
      </c>
      <c r="D45" s="424">
        <v>4555.74</v>
      </c>
      <c r="E45" s="264">
        <f t="shared" ref="E45:I45" si="34">D45*(1+E$9)</f>
        <v>4660.5220199999994</v>
      </c>
      <c r="F45" s="264">
        <f t="shared" si="34"/>
        <v>4767.7140264599993</v>
      </c>
      <c r="G45" s="264">
        <f t="shared" si="34"/>
        <v>4877.3714490685788</v>
      </c>
      <c r="H45" s="264">
        <f t="shared" si="34"/>
        <v>4989.5509923971558</v>
      </c>
      <c r="I45" s="429">
        <f t="shared" si="34"/>
        <v>5104.3106652222896</v>
      </c>
    </row>
    <row r="46" spans="1:9" x14ac:dyDescent="0.35">
      <c r="A46" s="53" t="s">
        <v>283</v>
      </c>
      <c r="B46" s="6">
        <v>3</v>
      </c>
      <c r="C46" s="424">
        <v>4665.07</v>
      </c>
      <c r="D46" s="424">
        <v>4795.6899999999996</v>
      </c>
      <c r="E46" s="264">
        <f t="shared" ref="E46:I46" si="35">D46*(1+E$9)</f>
        <v>4905.9908699999987</v>
      </c>
      <c r="F46" s="264">
        <f t="shared" si="35"/>
        <v>5018.8286600099982</v>
      </c>
      <c r="G46" s="264">
        <f t="shared" si="35"/>
        <v>5134.2617191902273</v>
      </c>
      <c r="H46" s="264">
        <f t="shared" si="35"/>
        <v>5252.349738731602</v>
      </c>
      <c r="I46" s="429">
        <f t="shared" si="35"/>
        <v>5373.1537827224283</v>
      </c>
    </row>
    <row r="47" spans="1:9" x14ac:dyDescent="0.35">
      <c r="A47" s="53" t="s">
        <v>283</v>
      </c>
      <c r="B47" s="6">
        <v>4</v>
      </c>
      <c r="C47" s="424">
        <v>4898.5</v>
      </c>
      <c r="D47" s="424">
        <v>5035.66</v>
      </c>
      <c r="E47" s="264">
        <f t="shared" ref="E47:I47" si="36">D47*(1+E$9)</f>
        <v>5151.4801799999996</v>
      </c>
      <c r="F47" s="264">
        <f t="shared" si="36"/>
        <v>5269.9642241399988</v>
      </c>
      <c r="G47" s="264">
        <f t="shared" si="36"/>
        <v>5391.1734012952184</v>
      </c>
      <c r="H47" s="264">
        <f t="shared" si="36"/>
        <v>5515.1703895250075</v>
      </c>
      <c r="I47" s="429">
        <f t="shared" si="36"/>
        <v>5642.0193084840821</v>
      </c>
    </row>
    <row r="48" spans="1:9" x14ac:dyDescent="0.35">
      <c r="A48" s="53" t="s">
        <v>283</v>
      </c>
      <c r="B48" s="6">
        <v>5</v>
      </c>
      <c r="C48" s="424">
        <v>5131.91</v>
      </c>
      <c r="D48" s="424">
        <v>5275.6</v>
      </c>
      <c r="E48" s="264">
        <f t="shared" ref="E48:I48" si="37">D48*(1+E$9)</f>
        <v>5396.9387999999999</v>
      </c>
      <c r="F48" s="264">
        <f t="shared" si="37"/>
        <v>5521.0683923999995</v>
      </c>
      <c r="G48" s="264">
        <f t="shared" si="37"/>
        <v>5648.0529654251986</v>
      </c>
      <c r="H48" s="264">
        <f t="shared" si="37"/>
        <v>5777.9581836299776</v>
      </c>
      <c r="I48" s="429">
        <f t="shared" si="37"/>
        <v>5910.851221853467</v>
      </c>
    </row>
    <row r="49" spans="1:9" x14ac:dyDescent="0.35">
      <c r="A49" s="53" t="s">
        <v>283</v>
      </c>
      <c r="B49" s="6">
        <v>6</v>
      </c>
      <c r="C49" s="424">
        <v>5365.35</v>
      </c>
      <c r="D49" s="424">
        <v>5515.58</v>
      </c>
      <c r="E49" s="264">
        <f t="shared" ref="E49:I49" si="38">D49*(1+E$9)</f>
        <v>5642.4383399999997</v>
      </c>
      <c r="F49" s="264">
        <f t="shared" si="38"/>
        <v>5772.2144218199992</v>
      </c>
      <c r="G49" s="264">
        <f t="shared" si="38"/>
        <v>5904.9753535218588</v>
      </c>
      <c r="H49" s="264">
        <f t="shared" si="38"/>
        <v>6040.789786652861</v>
      </c>
      <c r="I49" s="429">
        <f t="shared" si="38"/>
        <v>6179.7279517458765</v>
      </c>
    </row>
    <row r="50" spans="1:9" x14ac:dyDescent="0.35">
      <c r="A50" s="53" t="s">
        <v>283</v>
      </c>
      <c r="B50" s="6">
        <v>7</v>
      </c>
      <c r="C50" s="424">
        <v>5598.77</v>
      </c>
      <c r="D50" s="424">
        <v>5755.54</v>
      </c>
      <c r="E50" s="264">
        <f t="shared" ref="E50:I50" si="39">D50*(1+E$9)</f>
        <v>5887.9174199999998</v>
      </c>
      <c r="F50" s="264">
        <f t="shared" si="39"/>
        <v>6023.3395206599989</v>
      </c>
      <c r="G50" s="264">
        <f t="shared" si="39"/>
        <v>6161.8763296351781</v>
      </c>
      <c r="H50" s="264">
        <f t="shared" si="39"/>
        <v>6303.5994852167869</v>
      </c>
      <c r="I50" s="429">
        <f t="shared" si="39"/>
        <v>6448.5822733767727</v>
      </c>
    </row>
    <row r="51" spans="1:9" x14ac:dyDescent="0.35">
      <c r="A51" s="53" t="s">
        <v>283</v>
      </c>
      <c r="B51" s="6">
        <v>8</v>
      </c>
      <c r="C51" s="424">
        <v>5832.17</v>
      </c>
      <c r="D51" s="424">
        <v>5995.47</v>
      </c>
      <c r="E51" s="264">
        <f t="shared" ref="E51:I51" si="40">D51*(1+E$9)</f>
        <v>6133.3658099999993</v>
      </c>
      <c r="F51" s="264">
        <f t="shared" si="40"/>
        <v>6274.4332236299988</v>
      </c>
      <c r="G51" s="264">
        <f t="shared" si="40"/>
        <v>6418.7451877734884</v>
      </c>
      <c r="H51" s="264">
        <f t="shared" si="40"/>
        <v>6566.3763270922782</v>
      </c>
      <c r="I51" s="429">
        <f t="shared" si="40"/>
        <v>6717.4029826154001</v>
      </c>
    </row>
    <row r="52" spans="1:9" x14ac:dyDescent="0.35">
      <c r="A52" s="53" t="s">
        <v>283</v>
      </c>
      <c r="B52" s="6">
        <v>9</v>
      </c>
      <c r="C52" s="424">
        <v>6065.59</v>
      </c>
      <c r="D52" s="424">
        <v>6235.43</v>
      </c>
      <c r="E52" s="264">
        <f t="shared" ref="E52:I52" si="41">D52*(1+E$9)</f>
        <v>6378.8448899999994</v>
      </c>
      <c r="F52" s="264">
        <f t="shared" si="41"/>
        <v>6525.5583224699985</v>
      </c>
      <c r="G52" s="264">
        <f t="shared" si="41"/>
        <v>6675.6461638868077</v>
      </c>
      <c r="H52" s="264">
        <f t="shared" si="41"/>
        <v>6829.186025656204</v>
      </c>
      <c r="I52" s="429">
        <f t="shared" si="41"/>
        <v>6986.2573042462964</v>
      </c>
    </row>
    <row r="53" spans="1:9" x14ac:dyDescent="0.35">
      <c r="A53" s="53" t="s">
        <v>283</v>
      </c>
      <c r="B53" s="6">
        <v>10</v>
      </c>
      <c r="C53" s="424">
        <v>6298.99</v>
      </c>
      <c r="D53" s="424">
        <v>6475.36</v>
      </c>
      <c r="E53" s="264">
        <f t="shared" ref="E53:I53" si="42">D53*(1+E$9)</f>
        <v>6624.293279999999</v>
      </c>
      <c r="F53" s="264">
        <f t="shared" si="42"/>
        <v>6776.6520254399984</v>
      </c>
      <c r="G53" s="264">
        <f t="shared" si="42"/>
        <v>6932.515022025118</v>
      </c>
      <c r="H53" s="264">
        <f t="shared" si="42"/>
        <v>7091.9628675316953</v>
      </c>
      <c r="I53" s="429">
        <f t="shared" si="42"/>
        <v>7255.0780134849238</v>
      </c>
    </row>
    <row r="54" spans="1:9" x14ac:dyDescent="0.35">
      <c r="A54" s="53" t="s">
        <v>283</v>
      </c>
      <c r="B54" s="6">
        <v>11</v>
      </c>
      <c r="C54" s="424">
        <v>6532.41</v>
      </c>
      <c r="D54" s="424">
        <v>6715.32</v>
      </c>
      <c r="E54" s="264">
        <f t="shared" ref="E54:I54" si="43">D54*(1+E$9)</f>
        <v>6869.772359999999</v>
      </c>
      <c r="F54" s="264">
        <f t="shared" si="43"/>
        <v>7027.7771242799981</v>
      </c>
      <c r="G54" s="264">
        <f t="shared" si="43"/>
        <v>7189.4159981384373</v>
      </c>
      <c r="H54" s="264">
        <f t="shared" si="43"/>
        <v>7354.7725660956203</v>
      </c>
      <c r="I54" s="429">
        <f t="shared" si="43"/>
        <v>7523.9323351158191</v>
      </c>
    </row>
    <row r="55" spans="1:9" x14ac:dyDescent="0.35">
      <c r="A55" s="53" t="s">
        <v>283</v>
      </c>
      <c r="B55" s="6">
        <v>12</v>
      </c>
      <c r="C55" s="424">
        <v>6765.85</v>
      </c>
      <c r="D55" s="424">
        <v>6955.29</v>
      </c>
      <c r="E55" s="264">
        <f t="shared" ref="E55:I55" si="44">D55*(1+E$9)</f>
        <v>7115.261669999999</v>
      </c>
      <c r="F55" s="264">
        <f t="shared" si="44"/>
        <v>7278.9126884099987</v>
      </c>
      <c r="G55" s="264">
        <f t="shared" si="44"/>
        <v>7446.3276802434284</v>
      </c>
      <c r="H55" s="264">
        <f t="shared" si="44"/>
        <v>7617.5932168890267</v>
      </c>
      <c r="I55" s="429">
        <f t="shared" si="44"/>
        <v>7792.7978608774738</v>
      </c>
    </row>
    <row r="56" spans="1:9" x14ac:dyDescent="0.35">
      <c r="A56" s="53" t="s">
        <v>283</v>
      </c>
      <c r="B56" s="6">
        <v>13</v>
      </c>
      <c r="C56" s="424">
        <v>6999.25</v>
      </c>
      <c r="D56" s="424">
        <v>7195.23</v>
      </c>
      <c r="E56" s="264">
        <f t="shared" ref="E56:I56" si="45">D56*(1+E$9)</f>
        <v>7360.7202899999993</v>
      </c>
      <c r="F56" s="264">
        <f t="shared" si="45"/>
        <v>7530.0168566699986</v>
      </c>
      <c r="G56" s="264">
        <f t="shared" si="45"/>
        <v>7703.2072443734078</v>
      </c>
      <c r="H56" s="264">
        <f t="shared" si="45"/>
        <v>7880.381010993995</v>
      </c>
      <c r="I56" s="429">
        <f t="shared" si="45"/>
        <v>8061.629774246856</v>
      </c>
    </row>
    <row r="57" spans="1:9" x14ac:dyDescent="0.35">
      <c r="A57" s="53" t="s">
        <v>283</v>
      </c>
      <c r="B57" s="6">
        <v>14</v>
      </c>
      <c r="C57" s="424">
        <v>7232.68</v>
      </c>
      <c r="D57" s="424">
        <v>7435.2</v>
      </c>
      <c r="E57" s="264">
        <f t="shared" ref="E57:I57" si="46">D57*(1+E$9)</f>
        <v>7606.2095999999992</v>
      </c>
      <c r="F57" s="264">
        <f t="shared" si="46"/>
        <v>7781.1524207999983</v>
      </c>
      <c r="G57" s="264">
        <f t="shared" si="46"/>
        <v>7960.118926478398</v>
      </c>
      <c r="H57" s="264">
        <f t="shared" si="46"/>
        <v>8143.2016617874006</v>
      </c>
      <c r="I57" s="429">
        <f t="shared" si="46"/>
        <v>8330.4953000085097</v>
      </c>
    </row>
    <row r="58" spans="1:9" x14ac:dyDescent="0.35">
      <c r="A58" s="53" t="s">
        <v>283</v>
      </c>
      <c r="B58" s="6">
        <v>15</v>
      </c>
      <c r="C58" s="424">
        <v>7466.1</v>
      </c>
      <c r="D58" s="424">
        <v>7675.15</v>
      </c>
      <c r="E58" s="264">
        <f t="shared" ref="E58:I58" si="47">D58*(1+E$9)</f>
        <v>7851.6784499999985</v>
      </c>
      <c r="F58" s="264">
        <f t="shared" si="47"/>
        <v>8032.267054349998</v>
      </c>
      <c r="G58" s="264">
        <f t="shared" si="47"/>
        <v>8217.0091966000473</v>
      </c>
      <c r="H58" s="264">
        <f t="shared" si="47"/>
        <v>8406.0004081218485</v>
      </c>
      <c r="I58" s="429">
        <f t="shared" si="47"/>
        <v>8599.3384175086503</v>
      </c>
    </row>
    <row r="59" spans="1:9" x14ac:dyDescent="0.35">
      <c r="A59" s="53" t="s">
        <v>284</v>
      </c>
      <c r="B59" s="6">
        <v>1</v>
      </c>
      <c r="C59" s="424">
        <v>5297.13</v>
      </c>
      <c r="D59" s="424">
        <v>5445.45</v>
      </c>
      <c r="E59" s="264">
        <f t="shared" ref="E59:I59" si="48">D59*(1+E$9)</f>
        <v>5570.6953499999991</v>
      </c>
      <c r="F59" s="264">
        <f t="shared" si="48"/>
        <v>5698.8213430499982</v>
      </c>
      <c r="G59" s="264">
        <f t="shared" si="48"/>
        <v>5829.8942339401474</v>
      </c>
      <c r="H59" s="264">
        <f t="shared" si="48"/>
        <v>5963.9818013207705</v>
      </c>
      <c r="I59" s="429">
        <f t="shared" si="48"/>
        <v>6101.1533827511475</v>
      </c>
    </row>
    <row r="60" spans="1:9" x14ac:dyDescent="0.35">
      <c r="A60" s="53" t="s">
        <v>284</v>
      </c>
      <c r="B60" s="6">
        <v>2</v>
      </c>
      <c r="C60" s="424">
        <v>5531.78</v>
      </c>
      <c r="D60" s="424">
        <v>5686.67</v>
      </c>
      <c r="E60" s="264">
        <f t="shared" ref="E60:I60" si="49">D60*(1+E$9)</f>
        <v>5817.4634099999994</v>
      </c>
      <c r="F60" s="264">
        <f t="shared" si="49"/>
        <v>5951.2650684299988</v>
      </c>
      <c r="G60" s="264">
        <f t="shared" si="49"/>
        <v>6088.1441650038878</v>
      </c>
      <c r="H60" s="264">
        <f t="shared" si="49"/>
        <v>6228.1714807989765</v>
      </c>
      <c r="I60" s="429">
        <f t="shared" si="49"/>
        <v>6371.4194248573522</v>
      </c>
    </row>
    <row r="61" spans="1:9" x14ac:dyDescent="0.35">
      <c r="A61" s="53" t="s">
        <v>284</v>
      </c>
      <c r="B61" s="6">
        <v>3</v>
      </c>
      <c r="C61" s="424">
        <v>5766.43</v>
      </c>
      <c r="D61" s="424">
        <v>5927.89</v>
      </c>
      <c r="E61" s="264">
        <f t="shared" ref="E61:I61" si="50">D61*(1+E$9)</f>
        <v>6064.2314699999997</v>
      </c>
      <c r="F61" s="264">
        <f t="shared" si="50"/>
        <v>6203.7087938099994</v>
      </c>
      <c r="G61" s="264">
        <f t="shared" si="50"/>
        <v>6346.3940960676291</v>
      </c>
      <c r="H61" s="264">
        <f t="shared" si="50"/>
        <v>6492.3611602771844</v>
      </c>
      <c r="I61" s="429">
        <f t="shared" si="50"/>
        <v>6641.6854669635586</v>
      </c>
    </row>
    <row r="62" spans="1:9" x14ac:dyDescent="0.35">
      <c r="A62" s="53" t="s">
        <v>284</v>
      </c>
      <c r="B62" s="6">
        <v>4</v>
      </c>
      <c r="C62" s="424">
        <v>6001.08</v>
      </c>
      <c r="D62" s="424">
        <v>6169.11</v>
      </c>
      <c r="E62" s="264">
        <f t="shared" ref="E62:I62" si="51">D62*(1+E$9)</f>
        <v>6310.9995299999991</v>
      </c>
      <c r="F62" s="264">
        <f t="shared" si="51"/>
        <v>6456.1525191899982</v>
      </c>
      <c r="G62" s="264">
        <f t="shared" si="51"/>
        <v>6604.6440271313677</v>
      </c>
      <c r="H62" s="264">
        <f t="shared" si="51"/>
        <v>6756.5508397553886</v>
      </c>
      <c r="I62" s="429">
        <f t="shared" si="51"/>
        <v>6911.9515090697623</v>
      </c>
    </row>
    <row r="63" spans="1:9" x14ac:dyDescent="0.35">
      <c r="A63" s="53" t="s">
        <v>284</v>
      </c>
      <c r="B63" s="6">
        <v>5</v>
      </c>
      <c r="C63" s="424">
        <v>6235.71</v>
      </c>
      <c r="D63" s="424">
        <v>6410.31</v>
      </c>
      <c r="E63" s="264">
        <f t="shared" ref="E63:I63" si="52">D63*(1+E$9)</f>
        <v>6557.7471299999997</v>
      </c>
      <c r="F63" s="264">
        <f t="shared" si="52"/>
        <v>6708.5753139899989</v>
      </c>
      <c r="G63" s="264">
        <f t="shared" si="52"/>
        <v>6862.8725462117682</v>
      </c>
      <c r="H63" s="264">
        <f t="shared" si="52"/>
        <v>7020.7186147746379</v>
      </c>
      <c r="I63" s="429">
        <f t="shared" si="52"/>
        <v>7182.1951429144538</v>
      </c>
    </row>
    <row r="64" spans="1:9" x14ac:dyDescent="0.35">
      <c r="A64" s="53" t="s">
        <v>284</v>
      </c>
      <c r="B64" s="6">
        <v>6</v>
      </c>
      <c r="C64" s="424">
        <v>6470.35</v>
      </c>
      <c r="D64" s="424">
        <v>6651.52</v>
      </c>
      <c r="E64" s="264">
        <f t="shared" ref="E64:I64" si="53">D64*(1+E$9)</f>
        <v>6804.5049600000002</v>
      </c>
      <c r="F64" s="264">
        <f t="shared" si="53"/>
        <v>6961.0085740799996</v>
      </c>
      <c r="G64" s="264">
        <f t="shared" si="53"/>
        <v>7121.1117712838386</v>
      </c>
      <c r="H64" s="264">
        <f t="shared" si="53"/>
        <v>7284.897342023366</v>
      </c>
      <c r="I64" s="429">
        <f t="shared" si="53"/>
        <v>7452.4499808899027</v>
      </c>
    </row>
    <row r="65" spans="1:9" x14ac:dyDescent="0.35">
      <c r="A65" s="53" t="s">
        <v>284</v>
      </c>
      <c r="B65" s="6">
        <v>7</v>
      </c>
      <c r="C65" s="424">
        <v>6705.03</v>
      </c>
      <c r="D65" s="424">
        <v>6892.77</v>
      </c>
      <c r="E65" s="264">
        <f t="shared" ref="E65:I65" si="54">D65*(1+E$9)</f>
        <v>7051.3037100000001</v>
      </c>
      <c r="F65" s="264">
        <f t="shared" si="54"/>
        <v>7213.4836953299991</v>
      </c>
      <c r="G65" s="264">
        <f t="shared" si="54"/>
        <v>7379.3938203225889</v>
      </c>
      <c r="H65" s="264">
        <f t="shared" si="54"/>
        <v>7549.1198781900075</v>
      </c>
      <c r="I65" s="429">
        <f t="shared" si="54"/>
        <v>7722.7496353883771</v>
      </c>
    </row>
    <row r="66" spans="1:9" x14ac:dyDescent="0.35">
      <c r="A66" s="53" t="s">
        <v>284</v>
      </c>
      <c r="B66" s="6">
        <v>8</v>
      </c>
      <c r="C66" s="424">
        <v>6939.63</v>
      </c>
      <c r="D66" s="424">
        <v>7133.94</v>
      </c>
      <c r="E66" s="264">
        <f t="shared" ref="E66:I66" si="55">D66*(1+E$9)</f>
        <v>7298.0206199999993</v>
      </c>
      <c r="F66" s="264">
        <f t="shared" si="55"/>
        <v>7465.8750942599991</v>
      </c>
      <c r="G66" s="264">
        <f t="shared" si="55"/>
        <v>7637.5902214279786</v>
      </c>
      <c r="H66" s="264">
        <f t="shared" si="55"/>
        <v>7813.2547965208214</v>
      </c>
      <c r="I66" s="429">
        <f t="shared" si="55"/>
        <v>7992.9596568407997</v>
      </c>
    </row>
    <row r="67" spans="1:9" x14ac:dyDescent="0.35">
      <c r="A67" s="53" t="s">
        <v>284</v>
      </c>
      <c r="B67" s="6">
        <v>9</v>
      </c>
      <c r="C67" s="424">
        <v>7174.27</v>
      </c>
      <c r="D67" s="424">
        <v>7375.15</v>
      </c>
      <c r="E67" s="264">
        <f t="shared" ref="E67:I67" si="56">D67*(1+E$9)</f>
        <v>7544.7784499999989</v>
      </c>
      <c r="F67" s="264">
        <f t="shared" si="56"/>
        <v>7718.3083543499979</v>
      </c>
      <c r="G67" s="264">
        <f t="shared" si="56"/>
        <v>7895.8294465000472</v>
      </c>
      <c r="H67" s="264">
        <f t="shared" si="56"/>
        <v>8077.4335237695477</v>
      </c>
      <c r="I67" s="429">
        <f t="shared" si="56"/>
        <v>8263.2144948162459</v>
      </c>
    </row>
    <row r="68" spans="1:9" x14ac:dyDescent="0.35">
      <c r="A68" s="53" t="s">
        <v>284</v>
      </c>
      <c r="B68" s="6">
        <v>10</v>
      </c>
      <c r="C68" s="424">
        <v>7408.92</v>
      </c>
      <c r="D68" s="424">
        <v>7616.37</v>
      </c>
      <c r="E68" s="264">
        <f t="shared" ref="E68:I68" si="57">D68*(1+E$9)</f>
        <v>7791.5465099999992</v>
      </c>
      <c r="F68" s="264">
        <f t="shared" si="57"/>
        <v>7970.7520797299985</v>
      </c>
      <c r="G68" s="264">
        <f t="shared" si="57"/>
        <v>8154.0793775637876</v>
      </c>
      <c r="H68" s="264">
        <f t="shared" si="57"/>
        <v>8341.6232032477546</v>
      </c>
      <c r="I68" s="429">
        <f t="shared" si="57"/>
        <v>8533.4805369224523</v>
      </c>
    </row>
    <row r="69" spans="1:9" x14ac:dyDescent="0.35">
      <c r="A69" s="53" t="s">
        <v>284</v>
      </c>
      <c r="B69" s="6">
        <v>11</v>
      </c>
      <c r="C69" s="424">
        <v>7643.57</v>
      </c>
      <c r="D69" s="424">
        <v>7857.59</v>
      </c>
      <c r="E69" s="264">
        <f t="shared" ref="E69:I69" si="58">D69*(1+E$9)</f>
        <v>8038.3145699999995</v>
      </c>
      <c r="F69" s="264">
        <f t="shared" si="58"/>
        <v>8223.1958051099991</v>
      </c>
      <c r="G69" s="264">
        <f t="shared" si="58"/>
        <v>8412.329308627528</v>
      </c>
      <c r="H69" s="264">
        <f t="shared" si="58"/>
        <v>8605.8128827259607</v>
      </c>
      <c r="I69" s="429">
        <f t="shared" si="58"/>
        <v>8803.7465790286569</v>
      </c>
    </row>
    <row r="70" spans="1:9" x14ac:dyDescent="0.35">
      <c r="A70" s="53" t="s">
        <v>284</v>
      </c>
      <c r="B70" s="6">
        <v>12</v>
      </c>
      <c r="C70" s="424">
        <v>7878.2</v>
      </c>
      <c r="D70" s="424">
        <v>8098.79</v>
      </c>
      <c r="E70" s="264">
        <f t="shared" ref="E70:I70" si="59">D70*(1+E$9)</f>
        <v>8285.0621699999992</v>
      </c>
      <c r="F70" s="264">
        <f t="shared" si="59"/>
        <v>8475.618599909998</v>
      </c>
      <c r="G70" s="264">
        <f t="shared" si="59"/>
        <v>8670.5578277079276</v>
      </c>
      <c r="H70" s="264">
        <f t="shared" si="59"/>
        <v>8869.9806577452091</v>
      </c>
      <c r="I70" s="429">
        <f t="shared" si="59"/>
        <v>9073.9902128733484</v>
      </c>
    </row>
    <row r="71" spans="1:9" x14ac:dyDescent="0.35">
      <c r="A71" s="53" t="s">
        <v>284</v>
      </c>
      <c r="B71" s="6">
        <v>13</v>
      </c>
      <c r="C71" s="424">
        <v>8112.86</v>
      </c>
      <c r="D71" s="424">
        <v>8340.02</v>
      </c>
      <c r="E71" s="264">
        <f t="shared" ref="E71:I71" si="60">D71*(1+E$9)</f>
        <v>8531.8404599999994</v>
      </c>
      <c r="F71" s="264">
        <f t="shared" si="60"/>
        <v>8728.0727905799995</v>
      </c>
      <c r="G71" s="264">
        <f t="shared" si="60"/>
        <v>8928.8184647633389</v>
      </c>
      <c r="H71" s="264">
        <f t="shared" si="60"/>
        <v>9134.1812894528957</v>
      </c>
      <c r="I71" s="429">
        <f t="shared" si="60"/>
        <v>9344.2674591103114</v>
      </c>
    </row>
    <row r="72" spans="1:9" x14ac:dyDescent="0.35">
      <c r="A72" s="53" t="s">
        <v>284</v>
      </c>
      <c r="B72" s="6">
        <v>14</v>
      </c>
      <c r="C72" s="424">
        <v>8347.5</v>
      </c>
      <c r="D72" s="424">
        <v>8581.23</v>
      </c>
      <c r="E72" s="264">
        <f t="shared" ref="E72:I72" si="61">D72*(1+E$9)</f>
        <v>8778.5982899999981</v>
      </c>
      <c r="F72" s="264">
        <f t="shared" si="61"/>
        <v>8980.5060506699974</v>
      </c>
      <c r="G72" s="264">
        <f t="shared" si="61"/>
        <v>9187.0576898354066</v>
      </c>
      <c r="H72" s="264">
        <f t="shared" si="61"/>
        <v>9398.3600167016193</v>
      </c>
      <c r="I72" s="429">
        <f t="shared" si="61"/>
        <v>9614.5222970857558</v>
      </c>
    </row>
    <row r="73" spans="1:9" ht="15" thickBot="1" x14ac:dyDescent="0.4">
      <c r="A73" s="426" t="s">
        <v>284</v>
      </c>
      <c r="B73" s="9">
        <v>15</v>
      </c>
      <c r="C73" s="430">
        <v>8582.1299999999992</v>
      </c>
      <c r="D73" s="430">
        <v>8822.43</v>
      </c>
      <c r="E73" s="431">
        <f t="shared" ref="E73:I73" si="62">D73*(1+E$9)</f>
        <v>9025.3458899999987</v>
      </c>
      <c r="F73" s="431">
        <f t="shared" si="62"/>
        <v>9232.9288454699981</v>
      </c>
      <c r="G73" s="431">
        <f t="shared" si="62"/>
        <v>9445.2862089158079</v>
      </c>
      <c r="H73" s="431">
        <f t="shared" si="62"/>
        <v>9662.5277917208714</v>
      </c>
      <c r="I73" s="432">
        <f t="shared" si="62"/>
        <v>9884.7659309304508</v>
      </c>
    </row>
  </sheetData>
  <mergeCells count="1">
    <mergeCell ref="C8:I8"/>
  </mergeCells>
  <dataValidations count="3">
    <dataValidation type="list" allowBlank="1" showInputMessage="1" showErrorMessage="1" sqref="D4">
      <formula1>$B$13:$B$28</formula1>
    </dataValidation>
    <dataValidation type="list" allowBlank="1" showInputMessage="1" showErrorMessage="1" sqref="B4">
      <formula1>$C$10:$I$10</formula1>
    </dataValidation>
    <dataValidation type="list" allowBlank="1" showInputMessage="1" showErrorMessage="1" sqref="C4">
      <formula1>$K$9:$K$15</formula1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'Infos FoFö'!$B$87:$B$92</xm:f>
          </x14:formula1>
          <xm:sqref>I4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workbookViewId="0">
      <selection activeCell="G11" sqref="G11"/>
    </sheetView>
  </sheetViews>
  <sheetFormatPr baseColWidth="10" defaultRowHeight="14.5" x14ac:dyDescent="0.35"/>
  <cols>
    <col min="1" max="1" width="14" customWidth="1"/>
    <col min="2" max="2" width="5.453125" bestFit="1" customWidth="1"/>
    <col min="4" max="4" width="11.26953125" bestFit="1" customWidth="1"/>
    <col min="5" max="9" width="10.7265625" bestFit="1" customWidth="1"/>
    <col min="10" max="10" width="9.81640625" customWidth="1"/>
    <col min="11" max="11" width="9.1796875" customWidth="1"/>
    <col min="12" max="14" width="11.7265625" bestFit="1" customWidth="1"/>
    <col min="15" max="17" width="12" bestFit="1" customWidth="1"/>
    <col min="18" max="18" width="11.81640625" customWidth="1"/>
    <col min="19" max="19" width="16.26953125" style="4" customWidth="1"/>
  </cols>
  <sheetData>
    <row r="1" spans="1:21" ht="15" thickBot="1" x14ac:dyDescent="0.4">
      <c r="A1" s="80"/>
    </row>
    <row r="2" spans="1:21" x14ac:dyDescent="0.35">
      <c r="A2" s="73"/>
      <c r="B2" s="51"/>
      <c r="C2" s="1037" t="s">
        <v>103</v>
      </c>
      <c r="D2" s="1038"/>
      <c r="E2" s="1038"/>
      <c r="F2" s="1038"/>
      <c r="G2" s="1038"/>
      <c r="H2" s="1038"/>
      <c r="I2" s="1039"/>
      <c r="J2" s="88" t="s">
        <v>71</v>
      </c>
      <c r="K2" s="51"/>
      <c r="L2" s="1037" t="s">
        <v>104</v>
      </c>
      <c r="M2" s="1038"/>
      <c r="N2" s="1038"/>
      <c r="O2" s="1038"/>
      <c r="P2" s="1038"/>
      <c r="Q2" s="1038"/>
      <c r="R2" s="1038"/>
      <c r="S2" s="296"/>
    </row>
    <row r="3" spans="1:21" x14ac:dyDescent="0.35">
      <c r="A3" s="74"/>
      <c r="B3" s="4"/>
      <c r="C3" s="74"/>
      <c r="D3" s="4"/>
      <c r="E3" s="75">
        <f>'Infos FoFö'!$C$78</f>
        <v>2.3E-2</v>
      </c>
      <c r="F3" s="75">
        <f>'Infos FoFö'!$C$79</f>
        <v>2.3E-2</v>
      </c>
      <c r="G3" s="75">
        <f>'Infos FoFö'!$C$80</f>
        <v>2.3E-2</v>
      </c>
      <c r="H3" s="75">
        <f>'Infos FoFö'!$C$81</f>
        <v>2.3E-2</v>
      </c>
      <c r="I3" s="84">
        <f>'Infos FoFö'!$C$82</f>
        <v>2.3E-2</v>
      </c>
      <c r="J3" s="4"/>
      <c r="K3" s="4"/>
      <c r="L3" s="74"/>
      <c r="M3" s="4"/>
      <c r="N3" s="4"/>
      <c r="O3" s="4"/>
      <c r="P3" s="4"/>
      <c r="Q3" s="4"/>
      <c r="R3" s="4"/>
      <c r="S3" s="297"/>
    </row>
    <row r="4" spans="1:21" ht="15" thickBot="1" x14ac:dyDescent="0.4">
      <c r="A4" s="79" t="s">
        <v>0</v>
      </c>
      <c r="B4" s="80" t="s">
        <v>1</v>
      </c>
      <c r="C4" s="79" t="s">
        <v>91</v>
      </c>
      <c r="D4" s="80" t="s">
        <v>92</v>
      </c>
      <c r="E4" s="80">
        <v>2024</v>
      </c>
      <c r="F4" s="80">
        <v>2025</v>
      </c>
      <c r="G4" s="80">
        <v>2026</v>
      </c>
      <c r="H4" s="80">
        <v>2027</v>
      </c>
      <c r="I4" s="83">
        <v>2028</v>
      </c>
      <c r="J4" s="79" t="s">
        <v>91</v>
      </c>
      <c r="K4" s="80" t="s">
        <v>176</v>
      </c>
      <c r="L4" s="79" t="s">
        <v>91</v>
      </c>
      <c r="M4" s="80" t="s">
        <v>92</v>
      </c>
      <c r="N4" s="80">
        <v>2024</v>
      </c>
      <c r="O4" s="80">
        <v>2025</v>
      </c>
      <c r="P4" s="80">
        <v>2026</v>
      </c>
      <c r="Q4" s="80">
        <v>2027</v>
      </c>
      <c r="R4" s="80">
        <v>2028</v>
      </c>
      <c r="S4" s="298" t="s">
        <v>225</v>
      </c>
    </row>
    <row r="5" spans="1:21" x14ac:dyDescent="0.35">
      <c r="A5" s="87" t="s">
        <v>72</v>
      </c>
      <c r="B5" s="88">
        <v>6</v>
      </c>
      <c r="C5" s="89">
        <v>0</v>
      </c>
      <c r="D5" s="90">
        <v>0</v>
      </c>
      <c r="E5" s="412">
        <f>D5*(1+E$3)</f>
        <v>0</v>
      </c>
      <c r="F5" s="412">
        <f t="shared" ref="F5:I5" si="0">E5*(1+F$3)</f>
        <v>0</v>
      </c>
      <c r="G5" s="412">
        <f t="shared" si="0"/>
        <v>0</v>
      </c>
      <c r="H5" s="412">
        <f t="shared" si="0"/>
        <v>0</v>
      </c>
      <c r="I5" s="413">
        <f t="shared" si="0"/>
        <v>0</v>
      </c>
      <c r="J5" s="91">
        <v>0.32529999999999998</v>
      </c>
      <c r="K5" s="91">
        <v>0.31640000000000001</v>
      </c>
      <c r="L5" s="418">
        <f>IF(C5=0,0,(C5*(1+'Infos FoFö'!$C$65+'Infos FoFö'!$C$67)+'Infos FoFö'!$C$68+'Infos FoFö'!$C$69)*(1+$J5/12))</f>
        <v>0</v>
      </c>
      <c r="M5" s="412">
        <f>IF(D5=0,0,(D5*(1+'Infos FoFö'!$C$65+'Infos FoFö'!$C$67)+'Infos FoFö'!$C$68+'Infos FoFö'!$C$69)*(1+$K5/12))</f>
        <v>0</v>
      </c>
      <c r="N5" s="412">
        <f>IF(E5=0,0,(E5*(1+'Infos FoFö'!$C$65+'Infos FoFö'!$C$67)+'Infos FoFö'!$C$68+'Infos FoFö'!$C$69)*(1+$K5/12))</f>
        <v>0</v>
      </c>
      <c r="O5" s="412">
        <f>IF(F5=0,0,(F5*(1+'Infos FoFö'!$C$65+'Infos FoFö'!$C$67)+'Infos FoFö'!$C$68+'Infos FoFö'!$C$69)*(1+$K5/12))</f>
        <v>0</v>
      </c>
      <c r="P5" s="412">
        <f>IF(G5=0,0,(G5*(1+'Infos FoFö'!$C$65+'Infos FoFö'!$C$67)+'Infos FoFö'!$C$68+'Infos FoFö'!$C$69)*(1+$K5/12))</f>
        <v>0</v>
      </c>
      <c r="Q5" s="412">
        <f>IF(H5=0,0,(H5*(1+'Infos FoFö'!$C$65+'Infos FoFö'!$C$67)+'Infos FoFö'!$C$68+'Infos FoFö'!$C$69)*(1+$K5/12))</f>
        <v>0</v>
      </c>
      <c r="R5" s="412">
        <f>IF(I5=0,0,(I5*(1+'Infos FoFö'!$C$65+'Infos FoFö'!$C$67)+'Infos FoFö'!$C$68+'Infos FoFö'!$C$69)*(1+$K5/12))</f>
        <v>0</v>
      </c>
      <c r="S5" s="421">
        <f t="shared" ref="S5" si="1">IF((L5-L6)/L6&lt;0,0,(L5-L6)/L6)</f>
        <v>0</v>
      </c>
    </row>
    <row r="6" spans="1:21" x14ac:dyDescent="0.35">
      <c r="A6" s="76" t="s">
        <v>72</v>
      </c>
      <c r="B6" s="20">
        <v>5</v>
      </c>
      <c r="C6" s="85">
        <v>7740.31</v>
      </c>
      <c r="D6" s="77">
        <v>7957.04</v>
      </c>
      <c r="E6" s="414">
        <f t="shared" ref="E6:I6" si="2">D6*(1+E$3)</f>
        <v>8140.051919999999</v>
      </c>
      <c r="F6" s="414">
        <f t="shared" si="2"/>
        <v>8327.2731141599979</v>
      </c>
      <c r="G6" s="414">
        <f t="shared" si="2"/>
        <v>8518.8003957856763</v>
      </c>
      <c r="H6" s="414">
        <f t="shared" si="2"/>
        <v>8714.7328048887466</v>
      </c>
      <c r="I6" s="415">
        <f t="shared" si="2"/>
        <v>8915.1716594011868</v>
      </c>
      <c r="J6" s="78">
        <v>0.32529999999999998</v>
      </c>
      <c r="K6" s="78">
        <v>0.31640000000000001</v>
      </c>
      <c r="L6" s="419">
        <f>IF(C6=0,0,(C6*(1+'Infos FoFö'!$C$65+'Infos FoFö'!$C$67)+'Infos FoFö'!$C$68+'Infos FoFö'!$C$69)*(1+$J6/12))</f>
        <v>10305.990382940689</v>
      </c>
      <c r="M6" s="414">
        <f>IF(D6=0,0,(D6*(1+'Infos FoFö'!$C$65+'Infos FoFö'!$C$67)+'Infos FoFö'!$C$68+'Infos FoFö'!$C$69)*(1+$K6/12))</f>
        <v>10586.113569895333</v>
      </c>
      <c r="N6" s="414">
        <f>IF(E6=0,0,(E6*(1+'Infos FoFö'!$C$65+'Infos FoFö'!$C$67)+'Infos FoFö'!$C$68+'Infos FoFö'!$C$69)*(1+$K6/12))</f>
        <v>10828.940283799591</v>
      </c>
      <c r="O6" s="414">
        <f>IF(F6=0,0,(F6*(1+'Infos FoFö'!$C$65+'Infos FoFö'!$C$67)+'Infos FoFö'!$C$68+'Infos FoFö'!$C$69)*(1+$K6/12))</f>
        <v>11077.352012123647</v>
      </c>
      <c r="P6" s="414">
        <f>IF(G6=0,0,(G6*(1+'Infos FoFö'!$C$65+'Infos FoFö'!$C$67)+'Infos FoFö'!$C$68+'Infos FoFö'!$C$69)*(1+$K6/12))</f>
        <v>11331.477210199155</v>
      </c>
      <c r="Q6" s="414">
        <f>IF(H6=0,0,(H6*(1+'Infos FoFö'!$C$65+'Infos FoFö'!$C$67)+'Infos FoFö'!$C$68+'Infos FoFö'!$C$69)*(1+$K6/12))</f>
        <v>11591.447287830402</v>
      </c>
      <c r="R6" s="414">
        <f>IF(I6=0,0,(I6*(1+'Infos FoFö'!$C$65+'Infos FoFö'!$C$67)+'Infos FoFö'!$C$68+'Infos FoFö'!$C$69)*(1+$K6/12))</f>
        <v>11857.396677247167</v>
      </c>
      <c r="S6" s="422">
        <v>0</v>
      </c>
      <c r="T6" s="224"/>
      <c r="U6" s="224"/>
    </row>
    <row r="7" spans="1:21" x14ac:dyDescent="0.35">
      <c r="A7" s="76" t="s">
        <v>72</v>
      </c>
      <c r="B7" s="20">
        <v>4</v>
      </c>
      <c r="C7" s="85">
        <v>7640.03</v>
      </c>
      <c r="D7" s="77">
        <v>7853.95</v>
      </c>
      <c r="E7" s="414">
        <f t="shared" ref="E7:I7" si="3">D7*(1+E$3)</f>
        <v>8034.5908499999987</v>
      </c>
      <c r="F7" s="414">
        <f t="shared" si="3"/>
        <v>8219.3864395499986</v>
      </c>
      <c r="G7" s="414">
        <f t="shared" si="3"/>
        <v>8408.4323276596479</v>
      </c>
      <c r="H7" s="414">
        <f t="shared" si="3"/>
        <v>8601.8262711958196</v>
      </c>
      <c r="I7" s="415">
        <f t="shared" si="3"/>
        <v>8799.6682754333233</v>
      </c>
      <c r="J7" s="78">
        <v>0.32529999999999998</v>
      </c>
      <c r="K7" s="78">
        <v>0.31640000000000001</v>
      </c>
      <c r="L7" s="419">
        <f>IF(C7=0,0,(C7*(1+'Infos FoFö'!$C$65+'Infos FoFö'!$C$67)+'Infos FoFö'!$C$68+'Infos FoFö'!$C$69)*(1+$J7/12))</f>
        <v>10172.839170745603</v>
      </c>
      <c r="M7" s="414">
        <f>IF(D7=0,0,(D7*(1+'Infos FoFö'!$C$65+'Infos FoFö'!$C$67)+'Infos FoFö'!$C$68+'Infos FoFö'!$C$69)*(1+$K7/12))</f>
        <v>10449.33009734125</v>
      </c>
      <c r="N7" s="414">
        <f>IF(E7=0,0,(E7*(1+'Infos FoFö'!$C$65+'Infos FoFö'!$C$67)+'Infos FoFö'!$C$68+'Infos FoFö'!$C$69)*(1+$K7/12))</f>
        <v>10689.010791376762</v>
      </c>
      <c r="O7" s="414">
        <f>IF(F7=0,0,(F7*(1+'Infos FoFö'!$C$65+'Infos FoFö'!$C$67)+'Infos FoFö'!$C$68+'Infos FoFö'!$C$69)*(1+$K7/12))</f>
        <v>10934.204141375096</v>
      </c>
      <c r="P7" s="414">
        <f>IF(G7=0,0,(G7*(1+'Infos FoFö'!$C$65+'Infos FoFö'!$C$67)+'Infos FoFö'!$C$68+'Infos FoFö'!$C$69)*(1+$K7/12))</f>
        <v>11185.036938423389</v>
      </c>
      <c r="Q7" s="414">
        <f>IF(H7=0,0,(H7*(1+'Infos FoFö'!$C$65+'Infos FoFö'!$C$67)+'Infos FoFö'!$C$68+'Infos FoFö'!$C$69)*(1+$K7/12))</f>
        <v>11441.638889803793</v>
      </c>
      <c r="R7" s="414">
        <f>IF(I7=0,0,(I7*(1+'Infos FoFö'!$C$65+'Infos FoFö'!$C$67)+'Infos FoFö'!$C$68+'Infos FoFö'!$C$69)*(1+$K7/12))</f>
        <v>11704.142686065947</v>
      </c>
      <c r="S7" s="422">
        <f t="shared" ref="S7:S27" si="4">IF((L6-L7)/L7&lt;0,0,(L6-L7)/L7)</f>
        <v>1.3088893863376231E-2</v>
      </c>
      <c r="T7" s="224"/>
      <c r="U7" s="224"/>
    </row>
    <row r="8" spans="1:21" x14ac:dyDescent="0.35">
      <c r="A8" s="76" t="s">
        <v>72</v>
      </c>
      <c r="B8" s="20">
        <v>3</v>
      </c>
      <c r="C8" s="85">
        <v>7232.37</v>
      </c>
      <c r="D8" s="77">
        <v>7434.88</v>
      </c>
      <c r="E8" s="414">
        <f t="shared" ref="E8:I8" si="5">D8*(1+E$3)</f>
        <v>7605.882239999999</v>
      </c>
      <c r="F8" s="414">
        <f t="shared" si="5"/>
        <v>7780.8175315199987</v>
      </c>
      <c r="G8" s="414">
        <f t="shared" si="5"/>
        <v>7959.7763347449581</v>
      </c>
      <c r="H8" s="414">
        <f t="shared" si="5"/>
        <v>8142.8511904440911</v>
      </c>
      <c r="I8" s="415">
        <f t="shared" si="5"/>
        <v>8330.1367678243041</v>
      </c>
      <c r="J8" s="78">
        <v>0.32529999999999998</v>
      </c>
      <c r="K8" s="78">
        <v>0.31640000000000001</v>
      </c>
      <c r="L8" s="419">
        <f>IF(C8=0,0,(C8*(1+'Infos FoFö'!$C$65+'Infos FoFö'!$C$67)+'Infos FoFö'!$C$68+'Infos FoFö'!$C$69)*(1+$J8/12))</f>
        <v>9631.5505472568948</v>
      </c>
      <c r="M8" s="414">
        <f>IF(D8=0,0,(D8*(1+'Infos FoFö'!$C$65+'Infos FoFö'!$C$67)+'Infos FoFö'!$C$68+'Infos FoFö'!$C$69)*(1+$K8/12))</f>
        <v>9893.2931408639997</v>
      </c>
      <c r="N8" s="414">
        <f>IF(E8=0,0,(E8*(1+'Infos FoFö'!$C$65+'Infos FoFö'!$C$67)+'Infos FoFö'!$C$68+'Infos FoFö'!$C$69)*(1+$K8/12))</f>
        <v>10120.184984900536</v>
      </c>
      <c r="O8" s="414">
        <f>IF(F8=0,0,(F8*(1+'Infos FoFö'!$C$65+'Infos FoFö'!$C$67)+'Infos FoFö'!$C$68+'Infos FoFö'!$C$69)*(1+$K8/12))</f>
        <v>10352.295341349916</v>
      </c>
      <c r="P8" s="414">
        <f>IF(G8=0,0,(G8*(1+'Infos FoFö'!$C$65+'Infos FoFö'!$C$67)+'Infos FoFö'!$C$68+'Infos FoFö'!$C$69)*(1+$K8/12))</f>
        <v>10589.744235997628</v>
      </c>
      <c r="Q8" s="414">
        <f>IF(H8=0,0,(H8*(1+'Infos FoFö'!$C$65+'Infos FoFö'!$C$67)+'Infos FoFö'!$C$68+'Infos FoFö'!$C$69)*(1+$K8/12))</f>
        <v>10832.65445522224</v>
      </c>
      <c r="R8" s="414">
        <f>IF(I8=0,0,(I8*(1+'Infos FoFö'!$C$65+'Infos FoFö'!$C$67)+'Infos FoFö'!$C$68+'Infos FoFö'!$C$69)*(1+$K8/12))</f>
        <v>11081.151609489018</v>
      </c>
      <c r="S8" s="422">
        <f t="shared" si="4"/>
        <v>5.6199530992740256E-2</v>
      </c>
      <c r="T8" s="224"/>
      <c r="U8" s="224"/>
    </row>
    <row r="9" spans="1:21" x14ac:dyDescent="0.35">
      <c r="A9" s="76" t="s">
        <v>72</v>
      </c>
      <c r="B9" s="20">
        <v>2</v>
      </c>
      <c r="C9" s="85">
        <v>6610.8</v>
      </c>
      <c r="D9" s="77">
        <v>6795.9</v>
      </c>
      <c r="E9" s="414">
        <f t="shared" ref="E9:I9" si="6">D9*(1+E$3)</f>
        <v>6952.2056999999986</v>
      </c>
      <c r="F9" s="414">
        <f t="shared" si="6"/>
        <v>7112.1064310999982</v>
      </c>
      <c r="G9" s="414">
        <f t="shared" si="6"/>
        <v>7275.6848790152972</v>
      </c>
      <c r="H9" s="414">
        <f t="shared" si="6"/>
        <v>7443.0256312326483</v>
      </c>
      <c r="I9" s="415">
        <f t="shared" si="6"/>
        <v>7614.2152207509989</v>
      </c>
      <c r="J9" s="78">
        <v>0.32529999999999998</v>
      </c>
      <c r="K9" s="78">
        <v>0.31640000000000001</v>
      </c>
      <c r="L9" s="419">
        <f>IF(C9=0,0,(C9*(1+'Infos FoFö'!$C$65+'Infos FoFö'!$C$67)+'Infos FoFö'!$C$68+'Infos FoFö'!$C$69)*(1+$J9/12))</f>
        <v>8806.2334455008331</v>
      </c>
      <c r="M9" s="414">
        <f>IF(D9=0,0,(D9*(1+'Infos FoFö'!$C$65+'Infos FoFö'!$C$67)+'Infos FoFö'!$C$68+'Infos FoFö'!$C$69)*(1+$K9/12))</f>
        <v>9045.4717877491639</v>
      </c>
      <c r="N9" s="414">
        <f>IF(E9=0,0,(E9*(1+'Infos FoFö'!$C$65+'Infos FoFö'!$C$67)+'Infos FoFö'!$C$68+'Infos FoFö'!$C$69)*(1+$K9/12))</f>
        <v>9252.8637406640628</v>
      </c>
      <c r="O9" s="414">
        <f>IF(F9=0,0,(F9*(1+'Infos FoFö'!$C$65+'Infos FoFö'!$C$67)+'Infos FoFö'!$C$68+'Infos FoFö'!$C$69)*(1+$K9/12))</f>
        <v>9465.0257084960012</v>
      </c>
      <c r="P9" s="414">
        <f>IF(G9=0,0,(G9*(1+'Infos FoFö'!$C$65+'Infos FoFö'!$C$67)+'Infos FoFö'!$C$68+'Infos FoFö'!$C$69)*(1+$K9/12))</f>
        <v>9682.0674015880741</v>
      </c>
      <c r="Q9" s="414">
        <f>IF(H9=0,0,(H9*(1+'Infos FoFö'!$C$65+'Infos FoFö'!$C$67)+'Infos FoFö'!$C$68+'Infos FoFö'!$C$69)*(1+$K9/12))</f>
        <v>9904.1010536212671</v>
      </c>
      <c r="R9" s="414">
        <f>IF(I9=0,0,(I9*(1+'Infos FoFö'!$C$65+'Infos FoFö'!$C$67)+'Infos FoFö'!$C$68+'Infos FoFö'!$C$69)*(1+$K9/12))</f>
        <v>10131.241479651222</v>
      </c>
      <c r="S9" s="422">
        <f t="shared" si="4"/>
        <v>9.3719648344971138E-2</v>
      </c>
      <c r="T9" s="224"/>
      <c r="U9" s="224"/>
    </row>
    <row r="10" spans="1:21" ht="15" thickBot="1" x14ac:dyDescent="0.4">
      <c r="A10" s="79" t="s">
        <v>72</v>
      </c>
      <c r="B10" s="80">
        <v>1</v>
      </c>
      <c r="C10" s="86">
        <v>5955.87</v>
      </c>
      <c r="D10" s="81">
        <v>6122.63</v>
      </c>
      <c r="E10" s="416">
        <f t="shared" ref="E10:I10" si="7">D10*(1+E$3)</f>
        <v>6263.4504899999993</v>
      </c>
      <c r="F10" s="416">
        <f t="shared" si="7"/>
        <v>6407.5098512699988</v>
      </c>
      <c r="G10" s="416">
        <f t="shared" si="7"/>
        <v>6554.8825778492082</v>
      </c>
      <c r="H10" s="416">
        <f t="shared" si="7"/>
        <v>6705.644877139739</v>
      </c>
      <c r="I10" s="417">
        <f t="shared" si="7"/>
        <v>6859.8747093139527</v>
      </c>
      <c r="J10" s="82">
        <v>0.32529999999999998</v>
      </c>
      <c r="K10" s="82">
        <v>0.31640000000000001</v>
      </c>
      <c r="L10" s="420">
        <f>IF(C10=0,0,(C10*(1+'Infos FoFö'!$C$65+'Infos FoFö'!$C$67)+'Infos FoFö'!$C$68+'Infos FoFö'!$C$69)*(1+$J10/12))</f>
        <v>7936.6211259662705</v>
      </c>
      <c r="M10" s="416">
        <f>IF(D10=0,0,(D10*(1+'Infos FoFö'!$C$65+'Infos FoFö'!$C$67)+'Infos FoFö'!$C$68+'Infos FoFö'!$C$69)*(1+$K10/12))</f>
        <v>8152.1532450535833</v>
      </c>
      <c r="N10" s="416">
        <f>IF(E10=0,0,(E10*(1+'Infos FoFö'!$C$65+'Infos FoFö'!$C$67)+'Infos FoFö'!$C$68+'Infos FoFö'!$C$69)*(1+$K10/12))</f>
        <v>8338.9988714864812</v>
      </c>
      <c r="O10" s="416">
        <f>IF(F10=0,0,(F10*(1+'Infos FoFö'!$C$65+'Infos FoFö'!$C$67)+'Infos FoFö'!$C$68+'Infos FoFö'!$C$69)*(1+$K10/12))</f>
        <v>8530.1419473273363</v>
      </c>
      <c r="P10" s="416">
        <f>IF(G10=0,0,(G10*(1+'Infos FoFö'!$C$65+'Infos FoFö'!$C$67)+'Infos FoFö'!$C$68+'Infos FoFö'!$C$69)*(1+$K10/12))</f>
        <v>8725.6813139125297</v>
      </c>
      <c r="Q10" s="416">
        <f>IF(H10=0,0,(H10*(1+'Infos FoFö'!$C$65+'Infos FoFö'!$C$67)+'Infos FoFö'!$C$68+'Infos FoFö'!$C$69)*(1+$K10/12))</f>
        <v>8925.7180859291839</v>
      </c>
      <c r="R10" s="416">
        <f>IF(I10=0,0,(I10*(1+'Infos FoFö'!$C$65+'Infos FoFö'!$C$67)+'Infos FoFö'!$C$68+'Infos FoFö'!$C$69)*(1+$K10/12))</f>
        <v>9130.3557037022219</v>
      </c>
      <c r="S10" s="422">
        <f t="shared" si="4"/>
        <v>0.10956958959392039</v>
      </c>
    </row>
    <row r="11" spans="1:21" x14ac:dyDescent="0.35">
      <c r="A11" s="87" t="s">
        <v>73</v>
      </c>
      <c r="B11" s="88">
        <v>6</v>
      </c>
      <c r="C11" s="89">
        <v>6850.45</v>
      </c>
      <c r="D11" s="90">
        <v>7042.26</v>
      </c>
      <c r="E11" s="412">
        <f t="shared" ref="E11:I11" si="8">D11*(1+E$3)</f>
        <v>7204.2319799999996</v>
      </c>
      <c r="F11" s="412">
        <f t="shared" si="8"/>
        <v>7369.9293155399992</v>
      </c>
      <c r="G11" s="412">
        <f t="shared" si="8"/>
        <v>7539.4376897974189</v>
      </c>
      <c r="H11" s="412">
        <f t="shared" si="8"/>
        <v>7712.8447566627592</v>
      </c>
      <c r="I11" s="413">
        <f t="shared" si="8"/>
        <v>7890.240186066002</v>
      </c>
      <c r="J11" s="91">
        <v>0.32529999999999998</v>
      </c>
      <c r="K11" s="91">
        <v>0.31640000000000001</v>
      </c>
      <c r="L11" s="418">
        <f>IF(C11=0,0,(C11*(1+'Infos FoFö'!$C$65+'Infos FoFö'!$C$67)+'Infos FoFö'!$C$68+'Infos FoFö'!$C$69)*(1+$J11/12))</f>
        <v>9124.4393489965605</v>
      </c>
      <c r="M11" s="412">
        <f>IF(D11=0,0,(D11*(1+'Infos FoFö'!$C$65+'Infos FoFö'!$C$67)+'Infos FoFö'!$C$68+'Infos FoFö'!$C$69)*(1+$K11/12))</f>
        <v>9372.350983582166</v>
      </c>
      <c r="N11" s="412">
        <f>IF(E11=0,0,(E11*(1+'Infos FoFö'!$C$65+'Infos FoFö'!$C$67)+'Infos FoFö'!$C$68+'Infos FoFö'!$C$69)*(1+$K11/12))</f>
        <v>9587.2611580012217</v>
      </c>
      <c r="O11" s="412">
        <f>IF(F11=0,0,(F11*(1+'Infos FoFö'!$C$65+'Infos FoFö'!$C$67)+'Infos FoFö'!$C$68+'Infos FoFö'!$C$69)*(1+$K11/12))</f>
        <v>9807.1142664319159</v>
      </c>
      <c r="P11" s="412">
        <f>IF(G11=0,0,(G11*(1+'Infos FoFö'!$C$65+'Infos FoFö'!$C$67)+'Infos FoFö'!$C$68+'Infos FoFö'!$C$69)*(1+$K11/12))</f>
        <v>10032.023996356516</v>
      </c>
      <c r="Q11" s="412">
        <f>IF(H11=0,0,(H11*(1+'Infos FoFö'!$C$65+'Infos FoFö'!$C$67)+'Infos FoFö'!$C$68+'Infos FoFö'!$C$69)*(1+$K11/12))</f>
        <v>10262.106650069383</v>
      </c>
      <c r="R11" s="412">
        <f>IF(I11=0,0,(I11*(1+'Infos FoFö'!$C$65+'Infos FoFö'!$C$67)+'Infos FoFö'!$C$68+'Infos FoFö'!$C$69)*(1+$K11/12))</f>
        <v>10497.481204817643</v>
      </c>
      <c r="S11" s="421">
        <f t="shared" si="4"/>
        <v>0</v>
      </c>
    </row>
    <row r="12" spans="1:21" x14ac:dyDescent="0.35">
      <c r="A12" s="76" t="s">
        <v>73</v>
      </c>
      <c r="B12" s="20">
        <v>5</v>
      </c>
      <c r="C12" s="85">
        <v>6650.92</v>
      </c>
      <c r="D12" s="77">
        <v>6837.15</v>
      </c>
      <c r="E12" s="414">
        <f t="shared" ref="E12:I12" si="9">D12*(1+E$3)</f>
        <v>6994.4044499999991</v>
      </c>
      <c r="F12" s="414">
        <f t="shared" si="9"/>
        <v>7155.2757523499986</v>
      </c>
      <c r="G12" s="414">
        <f t="shared" si="9"/>
        <v>7319.8470946540483</v>
      </c>
      <c r="H12" s="414">
        <f t="shared" si="9"/>
        <v>7488.203577831091</v>
      </c>
      <c r="I12" s="415">
        <f t="shared" si="9"/>
        <v>7660.4322601212052</v>
      </c>
      <c r="J12" s="78">
        <v>0.32529999999999998</v>
      </c>
      <c r="K12" s="78">
        <v>0.31640000000000001</v>
      </c>
      <c r="L12" s="419">
        <f>IF(C12=0,0,(C12*(1+'Infos FoFö'!$C$65+'Infos FoFö'!$C$67)+'Infos FoFö'!$C$68+'Infos FoFö'!$C$69)*(1+$J12/12))</f>
        <v>8859.5045527332495</v>
      </c>
      <c r="M12" s="414">
        <f>IF(D12=0,0,(D12*(1+'Infos FoFö'!$C$65+'Infos FoFö'!$C$67)+'Infos FoFö'!$C$68+'Infos FoFö'!$C$69)*(1+$K12/12))</f>
        <v>9100.2037524679145</v>
      </c>
      <c r="N12" s="414">
        <f>IF(E12=0,0,(E12*(1+'Infos FoFö'!$C$65+'Infos FoFö'!$C$67)+'Infos FoFö'!$C$68+'Infos FoFö'!$C$69)*(1+$K12/12))</f>
        <v>9308.854540571343</v>
      </c>
      <c r="O12" s="414">
        <f>IF(F12=0,0,(F12*(1+'Infos FoFö'!$C$65+'Infos FoFö'!$C$67)+'Infos FoFö'!$C$68+'Infos FoFö'!$C$69)*(1+$K12/12))</f>
        <v>9522.3042968011487</v>
      </c>
      <c r="P12" s="414">
        <f>IF(G12=0,0,(G12*(1+'Infos FoFö'!$C$65+'Infos FoFö'!$C$67)+'Infos FoFö'!$C$68+'Infos FoFö'!$C$69)*(1+$K12/12))</f>
        <v>9740.6633974242432</v>
      </c>
      <c r="Q12" s="414">
        <f>IF(H12=0,0,(H12*(1+'Infos FoFö'!$C$65+'Infos FoFö'!$C$67)+'Infos FoFö'!$C$68+'Infos FoFö'!$C$69)*(1+$K12/12))</f>
        <v>9964.0447573616657</v>
      </c>
      <c r="R12" s="414">
        <f>IF(I12=0,0,(I12*(1+'Infos FoFö'!$C$65+'Infos FoFö'!$C$67)+'Infos FoFö'!$C$68+'Infos FoFö'!$C$69)*(1+$K12/12))</f>
        <v>10192.56388857765</v>
      </c>
      <c r="S12" s="422">
        <f t="shared" si="4"/>
        <v>2.9904019427539643E-2</v>
      </c>
    </row>
    <row r="13" spans="1:21" x14ac:dyDescent="0.35">
      <c r="A13" s="76" t="s">
        <v>73</v>
      </c>
      <c r="B13" s="20">
        <v>4</v>
      </c>
      <c r="C13" s="85">
        <v>6129.64</v>
      </c>
      <c r="D13" s="77">
        <v>6301.27</v>
      </c>
      <c r="E13" s="414">
        <f t="shared" ref="E13:I13" si="10">D13*(1+E$3)</f>
        <v>6446.1992099999998</v>
      </c>
      <c r="F13" s="414">
        <f t="shared" si="10"/>
        <v>6594.4617918299991</v>
      </c>
      <c r="G13" s="414">
        <f t="shared" si="10"/>
        <v>6746.1344130420885</v>
      </c>
      <c r="H13" s="414">
        <f t="shared" si="10"/>
        <v>6901.2955045420558</v>
      </c>
      <c r="I13" s="415">
        <f t="shared" si="10"/>
        <v>7060.0253011465229</v>
      </c>
      <c r="J13" s="78">
        <v>0.32529999999999998</v>
      </c>
      <c r="K13" s="78">
        <v>0.31640000000000001</v>
      </c>
      <c r="L13" s="419">
        <f>IF(C13=0,0,(C13*(1+'Infos FoFö'!$C$65+'Infos FoFö'!$C$67)+'Infos FoFö'!$C$68+'Infos FoFö'!$C$69)*(1+$J13/12))</f>
        <v>8167.3519411152502</v>
      </c>
      <c r="M13" s="414">
        <f>IF(D13=0,0,(D13*(1+'Infos FoFö'!$C$65+'Infos FoFö'!$C$67)+'Infos FoFö'!$C$68+'Infos FoFö'!$C$69)*(1+$K13/12))</f>
        <v>8389.1791402622512</v>
      </c>
      <c r="N13" s="414">
        <f>IF(E13=0,0,(E13*(1+'Infos FoFö'!$C$65+'Infos FoFö'!$C$67)+'Infos FoFö'!$C$68+'Infos FoFö'!$C$69)*(1+$K13/12))</f>
        <v>8581.4763622849478</v>
      </c>
      <c r="O13" s="414">
        <f>IF(F13=0,0,(F13*(1+'Infos FoFö'!$C$65+'Infos FoFö'!$C$67)+'Infos FoFö'!$C$68+'Infos FoFö'!$C$69)*(1+$K13/12))</f>
        <v>8778.1964204141659</v>
      </c>
      <c r="P13" s="414">
        <f>IF(G13=0,0,(G13*(1+'Infos FoFö'!$C$65+'Infos FoFö'!$C$67)+'Infos FoFö'!$C$68+'Infos FoFö'!$C$69)*(1+$K13/12))</f>
        <v>8979.4410398803593</v>
      </c>
      <c r="Q13" s="414">
        <f>IF(H13=0,0,(H13*(1+'Infos FoFö'!$C$65+'Infos FoFö'!$C$67)+'Infos FoFö'!$C$68+'Infos FoFö'!$C$69)*(1+$K13/12))</f>
        <v>9185.3142855942733</v>
      </c>
      <c r="R13" s="414">
        <f>IF(I13=0,0,(I13*(1+'Infos FoFö'!$C$65+'Infos FoFö'!$C$67)+'Infos FoFö'!$C$68+'Infos FoFö'!$C$69)*(1+$K13/12))</f>
        <v>9395.9226159596074</v>
      </c>
      <c r="S13" s="422">
        <f t="shared" si="4"/>
        <v>8.4746269856896372E-2</v>
      </c>
    </row>
    <row r="14" spans="1:21" x14ac:dyDescent="0.35">
      <c r="A14" s="76" t="s">
        <v>73</v>
      </c>
      <c r="B14" s="20">
        <v>3</v>
      </c>
      <c r="C14" s="85">
        <v>5441.24</v>
      </c>
      <c r="D14" s="77">
        <v>5593.59</v>
      </c>
      <c r="E14" s="414">
        <f t="shared" ref="E14:I14" si="11">D14*(1+E$3)</f>
        <v>5722.2425699999994</v>
      </c>
      <c r="F14" s="414">
        <f t="shared" si="11"/>
        <v>5853.8541491099986</v>
      </c>
      <c r="G14" s="414">
        <f t="shared" si="11"/>
        <v>5988.4927945395284</v>
      </c>
      <c r="H14" s="414">
        <f t="shared" si="11"/>
        <v>6126.2281288139366</v>
      </c>
      <c r="I14" s="415">
        <f t="shared" si="11"/>
        <v>6267.1313757766566</v>
      </c>
      <c r="J14" s="78">
        <v>0.32529999999999998</v>
      </c>
      <c r="K14" s="78">
        <v>0.31640000000000001</v>
      </c>
      <c r="L14" s="419">
        <f>IF(C14=0,0,(C14*(1+'Infos FoFö'!$C$65+'Infos FoFö'!$C$67)+'Infos FoFö'!$C$68+'Infos FoFö'!$C$69)*(1+$J14/12))</f>
        <v>7253.2983464294166</v>
      </c>
      <c r="M14" s="414">
        <f>IF(D14=0,0,(D14*(1+'Infos FoFö'!$C$65+'Infos FoFö'!$C$67)+'Infos FoFö'!$C$68+'Infos FoFö'!$C$69)*(1+$K14/12))</f>
        <v>7450.2041877249167</v>
      </c>
      <c r="N14" s="414">
        <f>IF(E14=0,0,(E14*(1+'Infos FoFö'!$C$65+'Infos FoFö'!$C$67)+'Infos FoFö'!$C$68+'Infos FoFö'!$C$69)*(1+$K14/12))</f>
        <v>7620.9049858392564</v>
      </c>
      <c r="O14" s="414">
        <f>IF(F14=0,0,(F14*(1+'Infos FoFö'!$C$65+'Infos FoFö'!$C$67)+'Infos FoFö'!$C$68+'Infos FoFö'!$C$69)*(1+$K14/12))</f>
        <v>7795.5319023102247</v>
      </c>
      <c r="P14" s="414">
        <f>IF(G14=0,0,(G14*(1+'Infos FoFö'!$C$65+'Infos FoFö'!$C$67)+'Infos FoFö'!$C$68+'Infos FoFö'!$C$69)*(1+$K14/12))</f>
        <v>7974.1752378600258</v>
      </c>
      <c r="Q14" s="414">
        <f>IF(H14=0,0,(H14*(1+'Infos FoFö'!$C$65+'Infos FoFö'!$C$67)+'Infos FoFö'!$C$68+'Infos FoFö'!$C$69)*(1+$K14/12))</f>
        <v>8156.9273701274715</v>
      </c>
      <c r="R14" s="414">
        <f>IF(I14=0,0,(I14*(1+'Infos FoFö'!$C$65+'Infos FoFö'!$C$67)+'Infos FoFö'!$C$68+'Infos FoFö'!$C$69)*(1+$K14/12))</f>
        <v>8343.8828014370683</v>
      </c>
      <c r="S14" s="422">
        <f t="shared" si="4"/>
        <v>0.12601902624559694</v>
      </c>
    </row>
    <row r="15" spans="1:21" x14ac:dyDescent="0.35">
      <c r="A15" s="76" t="s">
        <v>73</v>
      </c>
      <c r="B15" s="20">
        <v>2</v>
      </c>
      <c r="C15" s="85">
        <v>5247.42</v>
      </c>
      <c r="D15" s="77">
        <v>5394.35</v>
      </c>
      <c r="E15" s="414">
        <f t="shared" ref="E15:I15" si="12">D15*(1+E$3)</f>
        <v>5518.4200499999997</v>
      </c>
      <c r="F15" s="414">
        <f t="shared" si="12"/>
        <v>5645.3437111499989</v>
      </c>
      <c r="G15" s="414">
        <f t="shared" si="12"/>
        <v>5775.1866165064484</v>
      </c>
      <c r="H15" s="414">
        <f t="shared" si="12"/>
        <v>5908.0159086860958</v>
      </c>
      <c r="I15" s="415">
        <f t="shared" si="12"/>
        <v>6043.9002745858752</v>
      </c>
      <c r="J15" s="78">
        <v>0.32529999999999998</v>
      </c>
      <c r="K15" s="78">
        <v>0.31640000000000001</v>
      </c>
      <c r="L15" s="419">
        <f>IF(C15=0,0,(C15*(1+'Infos FoFö'!$C$65+'Infos FoFö'!$C$67)+'Infos FoFö'!$C$68+'Infos FoFö'!$C$69)*(1+$J15/12))</f>
        <v>6995.9452556072083</v>
      </c>
      <c r="M15" s="414">
        <f>IF(D15=0,0,(D15*(1+'Infos FoFö'!$C$65+'Infos FoFö'!$C$67)+'Infos FoFö'!$C$68+'Infos FoFö'!$C$69)*(1+$K15/12))</f>
        <v>7185.8454810445846</v>
      </c>
      <c r="N15" s="414">
        <f>IF(E15=0,0,(E15*(1+'Infos FoFö'!$C$65+'Infos FoFö'!$C$67)+'Infos FoFö'!$C$68+'Infos FoFö'!$C$69)*(1+$K15/12))</f>
        <v>7350.4660289052754</v>
      </c>
      <c r="O15" s="414">
        <f>IF(F15=0,0,(F15*(1+'Infos FoFö'!$C$65+'Infos FoFö'!$C$67)+'Infos FoFö'!$C$68+'Infos FoFö'!$C$69)*(1+$K15/12))</f>
        <v>7518.8728493667613</v>
      </c>
      <c r="P15" s="414">
        <f>IF(G15=0,0,(G15*(1+'Infos FoFö'!$C$65+'Infos FoFö'!$C$67)+'Infos FoFö'!$C$68+'Infos FoFö'!$C$69)*(1+$K15/12))</f>
        <v>7691.153026698863</v>
      </c>
      <c r="Q15" s="414">
        <f>IF(H15=0,0,(H15*(1+'Infos FoFö'!$C$65+'Infos FoFö'!$C$67)+'Infos FoFö'!$C$68+'Infos FoFö'!$C$69)*(1+$K15/12))</f>
        <v>7867.3956481096029</v>
      </c>
      <c r="R15" s="414">
        <f>IF(I15=0,0,(I15*(1+'Infos FoFö'!$C$65+'Infos FoFö'!$C$67)+'Infos FoFö'!$C$68+'Infos FoFö'!$C$69)*(1+$K15/12))</f>
        <v>8047.6918498127898</v>
      </c>
      <c r="S15" s="422">
        <f t="shared" si="4"/>
        <v>3.6786035541936428E-2</v>
      </c>
    </row>
    <row r="16" spans="1:21" ht="15" thickBot="1" x14ac:dyDescent="0.4">
      <c r="A16" s="79" t="s">
        <v>73</v>
      </c>
      <c r="B16" s="80">
        <v>1</v>
      </c>
      <c r="C16" s="86">
        <v>4880.6499999999996</v>
      </c>
      <c r="D16" s="81">
        <v>5017.3100000000004</v>
      </c>
      <c r="E16" s="416">
        <f t="shared" ref="E16:I16" si="13">D16*(1+E$3)</f>
        <v>5132.70813</v>
      </c>
      <c r="F16" s="416">
        <f t="shared" si="13"/>
        <v>5250.7604169899996</v>
      </c>
      <c r="G16" s="416">
        <f t="shared" si="13"/>
        <v>5371.527906580769</v>
      </c>
      <c r="H16" s="416">
        <f t="shared" si="13"/>
        <v>5495.0730484321266</v>
      </c>
      <c r="I16" s="417">
        <f t="shared" si="13"/>
        <v>5621.459728546065</v>
      </c>
      <c r="J16" s="82">
        <v>0.32529999999999998</v>
      </c>
      <c r="K16" s="82">
        <v>0.31640000000000001</v>
      </c>
      <c r="L16" s="420">
        <f>IF(C16=0,0,(C16*(1+'Infos FoFö'!$C$65+'Infos FoFö'!$C$67)+'Infos FoFö'!$C$68+'Infos FoFö'!$C$69)*(1+$J16/12))</f>
        <v>6508.9501409603117</v>
      </c>
      <c r="M16" s="416">
        <f>IF(D16=0,0,(D16*(1+'Infos FoFö'!$C$65+'Infos FoFö'!$C$67)+'Infos FoFö'!$C$68+'Infos FoFö'!$C$69)*(1+$K16/12))</f>
        <v>6685.5754209825836</v>
      </c>
      <c r="N16" s="416">
        <f>IF(E16=0,0,(E16*(1+'Infos FoFö'!$C$65+'Infos FoFö'!$C$67)+'Infos FoFö'!$C$68+'Infos FoFö'!$C$69)*(1+$K16/12))</f>
        <v>6838.6897574618488</v>
      </c>
      <c r="O16" s="416">
        <f>IF(F16=0,0,(F16*(1+'Infos FoFö'!$C$65+'Infos FoFö'!$C$67)+'Infos FoFö'!$C$68+'Infos FoFö'!$C$69)*(1+$K16/12))</f>
        <v>6995.3257236801373</v>
      </c>
      <c r="P16" s="416">
        <f>IF(G16=0,0,(G16*(1+'Infos FoFö'!$C$65+'Infos FoFö'!$C$67)+'Infos FoFö'!$C$68+'Infos FoFö'!$C$69)*(1+$K16/12))</f>
        <v>7155.5643171214479</v>
      </c>
      <c r="Q16" s="416">
        <f>IF(H16=0,0,(H16*(1+'Infos FoFö'!$C$65+'Infos FoFö'!$C$67)+'Infos FoFö'!$C$68+'Infos FoFö'!$C$69)*(1+$K16/12))</f>
        <v>7319.4883982119072</v>
      </c>
      <c r="R16" s="416">
        <f>IF(I16=0,0,(I16*(1+'Infos FoFö'!$C$65+'Infos FoFö'!$C$67)+'Infos FoFö'!$C$68+'Infos FoFö'!$C$69)*(1+$K16/12))</f>
        <v>7487.1827331674467</v>
      </c>
      <c r="S16" s="422">
        <f t="shared" si="4"/>
        <v>7.4819303282456354E-2</v>
      </c>
    </row>
    <row r="17" spans="1:19" x14ac:dyDescent="0.35">
      <c r="A17" s="76" t="s">
        <v>74</v>
      </c>
      <c r="B17" s="20">
        <v>6</v>
      </c>
      <c r="C17" s="85">
        <v>6258.43</v>
      </c>
      <c r="D17" s="77">
        <v>6433.67</v>
      </c>
      <c r="E17" s="414">
        <f t="shared" ref="E17:I17" si="14">D17*(1+E$3)</f>
        <v>6581.6444099999999</v>
      </c>
      <c r="F17" s="414">
        <f t="shared" si="14"/>
        <v>6733.022231429999</v>
      </c>
      <c r="G17" s="414">
        <f t="shared" si="14"/>
        <v>6887.8817427528884</v>
      </c>
      <c r="H17" s="414">
        <f t="shared" si="14"/>
        <v>7046.303022836204</v>
      </c>
      <c r="I17" s="415">
        <f t="shared" si="14"/>
        <v>7208.3679923614363</v>
      </c>
      <c r="J17" s="78">
        <v>0.32529999999999998</v>
      </c>
      <c r="K17" s="78">
        <v>0.31640000000000001</v>
      </c>
      <c r="L17" s="419">
        <f>IF(C17=0,0,(C17*(1+'Infos FoFö'!$C$65+'Infos FoFö'!$C$67)+'Infos FoFö'!$C$68+'Infos FoFö'!$C$69)*(1+$J17/12))</f>
        <v>8338.3585687439372</v>
      </c>
      <c r="M17" s="414">
        <f>IF(D17=0,0,(D17*(1+'Infos FoFö'!$C$65+'Infos FoFö'!$C$67)+'Infos FoFö'!$C$68+'Infos FoFö'!$C$69)*(1+$K17/12))</f>
        <v>8564.8521615655827</v>
      </c>
      <c r="N17" s="414">
        <f>IF(E17=0,0,(E17*(1+'Infos FoFö'!$C$65+'Infos FoFö'!$C$67)+'Infos FoFö'!$C$68+'Infos FoFö'!$C$69)*(1+$K17/12))</f>
        <v>8761.1898630782562</v>
      </c>
      <c r="O17" s="414">
        <f>IF(F17=0,0,(F17*(1+'Infos FoFö'!$C$65+'Infos FoFö'!$C$67)+'Infos FoFö'!$C$68+'Infos FoFö'!$C$69)*(1+$K17/12))</f>
        <v>8962.043331725723</v>
      </c>
      <c r="P17" s="414">
        <f>IF(G17=0,0,(G17*(1+'Infos FoFö'!$C$65+'Infos FoFö'!$C$67)+'Infos FoFö'!$C$68+'Infos FoFö'!$C$69)*(1+$K17/12))</f>
        <v>9167.5164301520817</v>
      </c>
      <c r="Q17" s="414">
        <f>IF(H17=0,0,(H17*(1+'Infos FoFö'!$C$65+'Infos FoFö'!$C$67)+'Infos FoFö'!$C$68+'Infos FoFö'!$C$69)*(1+$K17/12))</f>
        <v>9377.7154098422434</v>
      </c>
      <c r="R17" s="414">
        <f>IF(I17=0,0,(I17*(1+'Infos FoFö'!$C$65+'Infos FoFö'!$C$67)+'Infos FoFö'!$C$68+'Infos FoFö'!$C$69)*(1+$K17/12))</f>
        <v>9592.7489660652809</v>
      </c>
      <c r="S17" s="421">
        <f t="shared" si="4"/>
        <v>0</v>
      </c>
    </row>
    <row r="18" spans="1:19" x14ac:dyDescent="0.35">
      <c r="A18" s="76" t="s">
        <v>74</v>
      </c>
      <c r="B18" s="20">
        <v>5</v>
      </c>
      <c r="C18" s="85">
        <v>6076.14</v>
      </c>
      <c r="D18" s="77">
        <v>6246.27</v>
      </c>
      <c r="E18" s="414">
        <f t="shared" ref="E18:I18" si="15">D18*(1+E$3)</f>
        <v>6389.9342099999994</v>
      </c>
      <c r="F18" s="414">
        <f t="shared" si="15"/>
        <v>6536.9026968299986</v>
      </c>
      <c r="G18" s="414">
        <f t="shared" si="15"/>
        <v>6687.2514588570875</v>
      </c>
      <c r="H18" s="414">
        <f t="shared" si="15"/>
        <v>6841.0582424107997</v>
      </c>
      <c r="I18" s="415">
        <f t="shared" si="15"/>
        <v>6998.4025819862472</v>
      </c>
      <c r="J18" s="78">
        <v>0.32529999999999998</v>
      </c>
      <c r="K18" s="78">
        <v>0.31640000000000001</v>
      </c>
      <c r="L18" s="419">
        <f>IF(C18=0,0,(C18*(1+'Infos FoFö'!$C$65+'Infos FoFö'!$C$67)+'Infos FoFö'!$C$68+'Infos FoFö'!$C$69)*(1+$J18/12))</f>
        <v>8096.3149461767089</v>
      </c>
      <c r="M18" s="414">
        <f>IF(D18=0,0,(D18*(1+'Infos FoFö'!$C$65+'Infos FoFö'!$C$67)+'Infos FoFö'!$C$68+'Infos FoFö'!$C$69)*(1+$K18/12))</f>
        <v>8316.2031873039177</v>
      </c>
      <c r="N18" s="414">
        <f>IF(E18=0,0,(E18*(1+'Infos FoFö'!$C$65+'Infos FoFö'!$C$67)+'Infos FoFö'!$C$68+'Infos FoFö'!$C$69)*(1+$K18/12))</f>
        <v>8506.8219624085723</v>
      </c>
      <c r="O18" s="414">
        <f>IF(F18=0,0,(F18*(1+'Infos FoFö'!$C$65+'Infos FoFö'!$C$67)+'Infos FoFö'!$C$68+'Infos FoFö'!$C$69)*(1+$K18/12))</f>
        <v>8701.8249693406342</v>
      </c>
      <c r="P18" s="414">
        <f>IF(G18=0,0,(G18*(1+'Infos FoFö'!$C$65+'Infos FoFö'!$C$67)+'Infos FoFö'!$C$68+'Infos FoFö'!$C$69)*(1+$K18/12))</f>
        <v>8901.3130454321363</v>
      </c>
      <c r="Q18" s="414">
        <f>IF(H18=0,0,(H18*(1+'Infos FoFö'!$C$65+'Infos FoFö'!$C$67)+'Infos FoFö'!$C$68+'Infos FoFö'!$C$69)*(1+$K18/12))</f>
        <v>9105.38934727374</v>
      </c>
      <c r="R18" s="414">
        <f>IF(I18=0,0,(I18*(1+'Infos FoFö'!$C$65+'Infos FoFö'!$C$67)+'Infos FoFö'!$C$68+'Infos FoFö'!$C$69)*(1+$K18/12))</f>
        <v>9314.1594040577002</v>
      </c>
      <c r="S18" s="422">
        <f t="shared" si="4"/>
        <v>2.9895529531188465E-2</v>
      </c>
    </row>
    <row r="19" spans="1:19" x14ac:dyDescent="0.35">
      <c r="A19" s="76" t="s">
        <v>74</v>
      </c>
      <c r="B19" s="20">
        <v>4</v>
      </c>
      <c r="C19" s="85">
        <v>5441.24</v>
      </c>
      <c r="D19" s="77">
        <v>5593.59</v>
      </c>
      <c r="E19" s="414">
        <f t="shared" ref="E19:I19" si="16">D19*(1+E$3)</f>
        <v>5722.2425699999994</v>
      </c>
      <c r="F19" s="414">
        <f t="shared" si="16"/>
        <v>5853.8541491099986</v>
      </c>
      <c r="G19" s="414">
        <f t="shared" si="16"/>
        <v>5988.4927945395284</v>
      </c>
      <c r="H19" s="414">
        <f t="shared" si="16"/>
        <v>6126.2281288139366</v>
      </c>
      <c r="I19" s="415">
        <f t="shared" si="16"/>
        <v>6267.1313757766566</v>
      </c>
      <c r="J19" s="78">
        <v>0.32529999999999998</v>
      </c>
      <c r="K19" s="78">
        <v>0.31640000000000001</v>
      </c>
      <c r="L19" s="419">
        <f>IF(C19=0,0,(C19*(1+'Infos FoFö'!$C$65+'Infos FoFö'!$C$67)+'Infos FoFö'!$C$68+'Infos FoFö'!$C$69)*(1+$J19/12))</f>
        <v>7253.2983464294166</v>
      </c>
      <c r="M19" s="414">
        <f>IF(D19=0,0,(D19*(1+'Infos FoFö'!$C$65+'Infos FoFö'!$C$67)+'Infos FoFö'!$C$68+'Infos FoFö'!$C$69)*(1+$K19/12))</f>
        <v>7450.2041877249167</v>
      </c>
      <c r="N19" s="414">
        <f>IF(E19=0,0,(E19*(1+'Infos FoFö'!$C$65+'Infos FoFö'!$C$67)+'Infos FoFö'!$C$68+'Infos FoFö'!$C$69)*(1+$K19/12))</f>
        <v>7620.9049858392564</v>
      </c>
      <c r="O19" s="414">
        <f>IF(F19=0,0,(F19*(1+'Infos FoFö'!$C$65+'Infos FoFö'!$C$67)+'Infos FoFö'!$C$68+'Infos FoFö'!$C$69)*(1+$K19/12))</f>
        <v>7795.5319023102247</v>
      </c>
      <c r="P19" s="414">
        <f>IF(G19=0,0,(G19*(1+'Infos FoFö'!$C$65+'Infos FoFö'!$C$67)+'Infos FoFö'!$C$68+'Infos FoFö'!$C$69)*(1+$K19/12))</f>
        <v>7974.1752378600258</v>
      </c>
      <c r="Q19" s="414">
        <f>IF(H19=0,0,(H19*(1+'Infos FoFö'!$C$65+'Infos FoFö'!$C$67)+'Infos FoFö'!$C$68+'Infos FoFö'!$C$69)*(1+$K19/12))</f>
        <v>8156.9273701274715</v>
      </c>
      <c r="R19" s="414">
        <f>IF(I19=0,0,(I19*(1+'Infos FoFö'!$C$65+'Infos FoFö'!$C$67)+'Infos FoFö'!$C$68+'Infos FoFö'!$C$69)*(1+$K19/12))</f>
        <v>8343.8828014370683</v>
      </c>
      <c r="S19" s="422">
        <f t="shared" si="4"/>
        <v>0.11622527565852635</v>
      </c>
    </row>
    <row r="20" spans="1:19" x14ac:dyDescent="0.35">
      <c r="A20" s="76" t="s">
        <v>74</v>
      </c>
      <c r="B20" s="20">
        <v>3</v>
      </c>
      <c r="C20" s="85">
        <v>5026.88</v>
      </c>
      <c r="D20" s="77">
        <v>5167.63</v>
      </c>
      <c r="E20" s="414">
        <f t="shared" ref="E20:I20" si="17">D20*(1+E$3)</f>
        <v>5286.48549</v>
      </c>
      <c r="F20" s="414">
        <f t="shared" si="17"/>
        <v>5408.0746562699997</v>
      </c>
      <c r="G20" s="414">
        <f t="shared" si="17"/>
        <v>5532.4603733642089</v>
      </c>
      <c r="H20" s="414">
        <f t="shared" si="17"/>
        <v>5659.7069619515851</v>
      </c>
      <c r="I20" s="415">
        <f t="shared" si="17"/>
        <v>5789.880222076471</v>
      </c>
      <c r="J20" s="78">
        <v>0.32529999999999998</v>
      </c>
      <c r="K20" s="78">
        <v>0.31640000000000001</v>
      </c>
      <c r="L20" s="419">
        <f>IF(C20=0,0,(C20*(1+'Infos FoFö'!$C$65+'Infos FoFö'!$C$67)+'Infos FoFö'!$C$68+'Infos FoFö'!$C$69)*(1+$J20/12))</f>
        <v>6703.1135011446668</v>
      </c>
      <c r="M20" s="414">
        <f>IF(D20=0,0,(D20*(1+'Infos FoFö'!$C$65+'Infos FoFö'!$C$67)+'Infos FoFö'!$C$68+'Infos FoFö'!$C$69)*(1+$K20/12))</f>
        <v>6885.0253345952506</v>
      </c>
      <c r="N20" s="414">
        <f>IF(E20=0,0,(E20*(1+'Infos FoFö'!$C$65+'Infos FoFö'!$C$67)+'Infos FoFö'!$C$68+'Infos FoFö'!$C$69)*(1+$K20/12))</f>
        <v>7042.727019087607</v>
      </c>
      <c r="O20" s="414">
        <f>IF(F20=0,0,(F20*(1+'Infos FoFö'!$C$65+'Infos FoFö'!$C$67)+'Infos FoFö'!$C$68+'Infos FoFö'!$C$69)*(1+$K20/12))</f>
        <v>7204.0558423232887</v>
      </c>
      <c r="P20" s="414">
        <f>IF(G20=0,0,(G20*(1+'Infos FoFö'!$C$65+'Infos FoFö'!$C$67)+'Infos FoFö'!$C$68+'Infos FoFö'!$C$69)*(1+$K20/12))</f>
        <v>7369.0952284933901</v>
      </c>
      <c r="Q20" s="414">
        <f>IF(H20=0,0,(H20*(1+'Infos FoFö'!$C$65+'Infos FoFö'!$C$67)+'Infos FoFö'!$C$68+'Infos FoFö'!$C$69)*(1+$K20/12))</f>
        <v>7537.9305205454039</v>
      </c>
      <c r="R20" s="414">
        <f>IF(I20=0,0,(I20*(1+'Infos FoFö'!$C$65+'Infos FoFö'!$C$67)+'Infos FoFö'!$C$68+'Infos FoFö'!$C$69)*(1+$K20/12))</f>
        <v>7710.6490243146145</v>
      </c>
      <c r="S20" s="422">
        <f t="shared" si="4"/>
        <v>8.2078998839986331E-2</v>
      </c>
    </row>
    <row r="21" spans="1:19" x14ac:dyDescent="0.35">
      <c r="A21" s="76" t="s">
        <v>74</v>
      </c>
      <c r="B21" s="20">
        <v>2</v>
      </c>
      <c r="C21" s="85">
        <v>4752.8500000000004</v>
      </c>
      <c r="D21" s="77">
        <v>4885.93</v>
      </c>
      <c r="E21" s="414">
        <f t="shared" ref="E21:I21" si="18">D21*(1+E$3)</f>
        <v>4998.3063899999997</v>
      </c>
      <c r="F21" s="414">
        <f t="shared" si="18"/>
        <v>5113.2674369699989</v>
      </c>
      <c r="G21" s="414">
        <f t="shared" si="18"/>
        <v>5230.8725880203083</v>
      </c>
      <c r="H21" s="414">
        <f t="shared" si="18"/>
        <v>5351.1826575447749</v>
      </c>
      <c r="I21" s="415">
        <f t="shared" si="18"/>
        <v>5474.2598586683043</v>
      </c>
      <c r="J21" s="78">
        <v>0.32529999999999998</v>
      </c>
      <c r="K21" s="78">
        <v>0.31640000000000001</v>
      </c>
      <c r="L21" s="419">
        <f>IF(C21=0,0,(C21*(1+'Infos FoFö'!$C$65+'Infos FoFö'!$C$67)+'Infos FoFö'!$C$68+'Infos FoFö'!$C$69)*(1+$J21/12))</f>
        <v>6339.2580296865626</v>
      </c>
      <c r="M21" s="414">
        <f>IF(D21=0,0,(D21*(1+'Infos FoFö'!$C$65+'Infos FoFö'!$C$67)+'Infos FoFö'!$C$68+'Infos FoFö'!$C$69)*(1+$K21/12))</f>
        <v>6511.2557718977505</v>
      </c>
      <c r="N21" s="414">
        <f>IF(E21=0,0,(E21*(1+'Infos FoFö'!$C$65+'Infos FoFö'!$C$67)+'Infos FoFö'!$C$68+'Infos FoFö'!$C$69)*(1+$K21/12))</f>
        <v>6660.3607564480644</v>
      </c>
      <c r="O21" s="414">
        <f>IF(F21=0,0,(F21*(1+'Infos FoFö'!$C$65+'Infos FoFö'!$C$67)+'Infos FoFö'!$C$68+'Infos FoFö'!$C$69)*(1+$K21/12))</f>
        <v>6812.8951556430366</v>
      </c>
      <c r="P21" s="414">
        <f>IF(G21=0,0,(G21*(1+'Infos FoFö'!$C$65+'Infos FoFö'!$C$67)+'Infos FoFö'!$C$68+'Infos FoFö'!$C$69)*(1+$K21/12))</f>
        <v>6968.9378460194912</v>
      </c>
      <c r="Q21" s="414">
        <f>IF(H21=0,0,(H21*(1+'Infos FoFö'!$C$65+'Infos FoFö'!$C$67)+'Infos FoFö'!$C$68+'Infos FoFö'!$C$69)*(1+$K21/12))</f>
        <v>7128.5695182746058</v>
      </c>
      <c r="R21" s="414">
        <f>IF(I21=0,0,(I21*(1+'Infos FoFö'!$C$65+'Infos FoFö'!$C$67)+'Infos FoFö'!$C$68+'Infos FoFö'!$C$69)*(1+$K21/12))</f>
        <v>7291.872718991588</v>
      </c>
      <c r="S21" s="422">
        <f t="shared" si="4"/>
        <v>5.7397170103217043E-2</v>
      </c>
    </row>
    <row r="22" spans="1:19" ht="15" thickBot="1" x14ac:dyDescent="0.4">
      <c r="A22" s="76" t="s">
        <v>74</v>
      </c>
      <c r="B22" s="20">
        <v>1</v>
      </c>
      <c r="C22" s="85">
        <v>4418.91</v>
      </c>
      <c r="D22" s="77">
        <v>4542.6400000000003</v>
      </c>
      <c r="E22" s="414">
        <f t="shared" ref="E22:I22" si="19">D22*(1+E$3)</f>
        <v>4647.1207199999999</v>
      </c>
      <c r="F22" s="414">
        <f t="shared" si="19"/>
        <v>4754.0044965599991</v>
      </c>
      <c r="G22" s="414">
        <f t="shared" si="19"/>
        <v>4863.3465999808786</v>
      </c>
      <c r="H22" s="414">
        <f t="shared" si="19"/>
        <v>4975.2035717804383</v>
      </c>
      <c r="I22" s="415">
        <f t="shared" si="19"/>
        <v>5089.633253931388</v>
      </c>
      <c r="J22" s="78">
        <v>0.32529999999999998</v>
      </c>
      <c r="K22" s="78">
        <v>0.31640000000000001</v>
      </c>
      <c r="L22" s="419">
        <f>IF(C22=0,0,(C22*(1+'Infos FoFö'!$C$65+'Infos FoFö'!$C$67)+'Infos FoFö'!$C$68+'Infos FoFö'!$C$69)*(1+$J22/12))</f>
        <v>5895.8544018402708</v>
      </c>
      <c r="M22" s="414">
        <f>IF(D22=0,0,(D22*(1+'Infos FoFö'!$C$65+'Infos FoFö'!$C$67)+'Infos FoFö'!$C$68+'Infos FoFö'!$C$69)*(1+$K22/12))</f>
        <v>6055.7664102420003</v>
      </c>
      <c r="N22" s="414">
        <f>IF(E22=0,0,(E22*(1+'Infos FoFö'!$C$65+'Infos FoFö'!$C$67)+'Infos FoFö'!$C$68+'Infos FoFö'!$C$69)*(1+$K22/12))</f>
        <v>6194.3951394742326</v>
      </c>
      <c r="O22" s="414">
        <f>IF(F22=0,0,(F22*(1+'Infos FoFö'!$C$65+'Infos FoFö'!$C$67)+'Infos FoFö'!$C$68+'Infos FoFö'!$C$69)*(1+$K22/12))</f>
        <v>6336.2123294788053</v>
      </c>
      <c r="P22" s="414">
        <f>IF(G22=0,0,(G22*(1+'Infos FoFö'!$C$65+'Infos FoFö'!$C$67)+'Infos FoFö'!$C$68+'Infos FoFö'!$C$69)*(1+$K22/12))</f>
        <v>6481.2913148534844</v>
      </c>
      <c r="Q22" s="414">
        <f>IF(H22=0,0,(H22*(1+'Infos FoFö'!$C$65+'Infos FoFö'!$C$67)+'Infos FoFö'!$C$68+'Infos FoFö'!$C$69)*(1+$K22/12))</f>
        <v>6629.7071168917801</v>
      </c>
      <c r="R22" s="414">
        <f>IF(I22=0,0,(I22*(1+'Infos FoFö'!$C$65+'Infos FoFö'!$C$67)+'Infos FoFö'!$C$68+'Infos FoFö'!$C$69)*(1+$K22/12))</f>
        <v>6781.5364823769569</v>
      </c>
      <c r="S22" s="423">
        <f t="shared" si="4"/>
        <v>7.5206000288591313E-2</v>
      </c>
    </row>
    <row r="23" spans="1:19" x14ac:dyDescent="0.35">
      <c r="A23" s="87" t="s">
        <v>75</v>
      </c>
      <c r="B23" s="88">
        <v>6</v>
      </c>
      <c r="C23" s="89">
        <v>6258.43</v>
      </c>
      <c r="D23" s="90">
        <v>6433.67</v>
      </c>
      <c r="E23" s="412">
        <f t="shared" ref="E23:I23" si="20">D23*(1+E$3)</f>
        <v>6581.6444099999999</v>
      </c>
      <c r="F23" s="412">
        <f t="shared" si="20"/>
        <v>6733.022231429999</v>
      </c>
      <c r="G23" s="412">
        <f t="shared" si="20"/>
        <v>6887.8817427528884</v>
      </c>
      <c r="H23" s="412">
        <f t="shared" si="20"/>
        <v>7046.303022836204</v>
      </c>
      <c r="I23" s="413">
        <f t="shared" si="20"/>
        <v>7208.3679923614363</v>
      </c>
      <c r="J23" s="335">
        <v>0.32529999999999998</v>
      </c>
      <c r="K23" s="335">
        <v>0.31640000000000001</v>
      </c>
      <c r="L23" s="418">
        <f>IF(C23=0,0,(C23*(1+'Infos FoFö'!$C$65+'Infos FoFö'!$C$67)+'Infos FoFö'!$C$68+'Infos FoFö'!$C$69)*(1+$J23/12))</f>
        <v>8338.3585687439372</v>
      </c>
      <c r="M23" s="412">
        <f>IF(D23=0,0,(D23*(1+'Infos FoFö'!$C$65+'Infos FoFö'!$C$67)+'Infos FoFö'!$C$68+'Infos FoFö'!$C$69)*(1+$K23/12))</f>
        <v>8564.8521615655827</v>
      </c>
      <c r="N23" s="412">
        <f>IF(E23=0,0,(E23*(1+'Infos FoFö'!$C$65+'Infos FoFö'!$C$67)+'Infos FoFö'!$C$68+'Infos FoFö'!$C$69)*(1+$K23/12))</f>
        <v>8761.1898630782562</v>
      </c>
      <c r="O23" s="412">
        <f>IF(F23=0,0,(F23*(1+'Infos FoFö'!$C$65+'Infos FoFö'!$C$67)+'Infos FoFö'!$C$68+'Infos FoFö'!$C$69)*(1+$K23/12))</f>
        <v>8962.043331725723</v>
      </c>
      <c r="P23" s="412">
        <f>IF(G23=0,0,(G23*(1+'Infos FoFö'!$C$65+'Infos FoFö'!$C$67)+'Infos FoFö'!$C$68+'Infos FoFö'!$C$69)*(1+$K23/12))</f>
        <v>9167.5164301520817</v>
      </c>
      <c r="Q23" s="412">
        <f>IF(H23=0,0,(H23*(1+'Infos FoFö'!$C$65+'Infos FoFö'!$C$67)+'Infos FoFö'!$C$68+'Infos FoFö'!$C$69)*(1+$K23/12))</f>
        <v>9377.7154098422434</v>
      </c>
      <c r="R23" s="412">
        <f>IF(I23=0,0,(I23*(1+'Infos FoFö'!$C$65+'Infos FoFö'!$C$67)+'Infos FoFö'!$C$68+'Infos FoFö'!$C$69)*(1+$K23/12))</f>
        <v>9592.7489660652809</v>
      </c>
      <c r="S23" s="422">
        <f t="shared" si="4"/>
        <v>0</v>
      </c>
    </row>
    <row r="24" spans="1:19" x14ac:dyDescent="0.35">
      <c r="A24" s="76" t="s">
        <v>75</v>
      </c>
      <c r="B24" s="20">
        <v>5</v>
      </c>
      <c r="C24" s="85">
        <v>6076.14</v>
      </c>
      <c r="D24" s="77">
        <v>6246.27</v>
      </c>
      <c r="E24" s="414">
        <f t="shared" ref="E24:I24" si="21">D24*(1+E$3)</f>
        <v>6389.9342099999994</v>
      </c>
      <c r="F24" s="414">
        <f t="shared" si="21"/>
        <v>6536.9026968299986</v>
      </c>
      <c r="G24" s="414">
        <f t="shared" si="21"/>
        <v>6687.2514588570875</v>
      </c>
      <c r="H24" s="414">
        <f t="shared" si="21"/>
        <v>6841.0582424107997</v>
      </c>
      <c r="I24" s="415">
        <f t="shared" si="21"/>
        <v>6998.4025819862472</v>
      </c>
      <c r="J24" s="336">
        <v>0.32529999999999998</v>
      </c>
      <c r="K24" s="336">
        <v>0.31640000000000001</v>
      </c>
      <c r="L24" s="419">
        <f>IF(C24=0,0,(C24*(1+'Infos FoFö'!$C$65+'Infos FoFö'!$C$67)+'Infos FoFö'!$C$68+'Infos FoFö'!$C$69)*(1+$J24/12))</f>
        <v>8096.3149461767089</v>
      </c>
      <c r="M24" s="414">
        <f>IF(D24=0,0,(D24*(1+'Infos FoFö'!$C$65+'Infos FoFö'!$C$67)+'Infos FoFö'!$C$68+'Infos FoFö'!$C$69)*(1+$K24/12))</f>
        <v>8316.2031873039177</v>
      </c>
      <c r="N24" s="414">
        <f>IF(E24=0,0,(E24*(1+'Infos FoFö'!$C$65+'Infos FoFö'!$C$67)+'Infos FoFö'!$C$68+'Infos FoFö'!$C$69)*(1+$K24/12))</f>
        <v>8506.8219624085723</v>
      </c>
      <c r="O24" s="414">
        <f>IF(F24=0,0,(F24*(1+'Infos FoFö'!$C$65+'Infos FoFö'!$C$67)+'Infos FoFö'!$C$68+'Infos FoFö'!$C$69)*(1+$K24/12))</f>
        <v>8701.8249693406342</v>
      </c>
      <c r="P24" s="414">
        <f>IF(G24=0,0,(G24*(1+'Infos FoFö'!$C$65+'Infos FoFö'!$C$67)+'Infos FoFö'!$C$68+'Infos FoFö'!$C$69)*(1+$K24/12))</f>
        <v>8901.3130454321363</v>
      </c>
      <c r="Q24" s="414">
        <f>IF(H24=0,0,(H24*(1+'Infos FoFö'!$C$65+'Infos FoFö'!$C$67)+'Infos FoFö'!$C$68+'Infos FoFö'!$C$69)*(1+$K24/12))</f>
        <v>9105.38934727374</v>
      </c>
      <c r="R24" s="414">
        <f>IF(I24=0,0,(I24*(1+'Infos FoFö'!$C$65+'Infos FoFö'!$C$67)+'Infos FoFö'!$C$68+'Infos FoFö'!$C$69)*(1+$K24/12))</f>
        <v>9314.1594040577002</v>
      </c>
      <c r="S24" s="422">
        <f t="shared" si="4"/>
        <v>2.9895529531188465E-2</v>
      </c>
    </row>
    <row r="25" spans="1:19" x14ac:dyDescent="0.35">
      <c r="A25" s="76" t="s">
        <v>75</v>
      </c>
      <c r="B25" s="20">
        <v>4</v>
      </c>
      <c r="C25" s="85">
        <v>5441.24</v>
      </c>
      <c r="D25" s="77">
        <v>5593.59</v>
      </c>
      <c r="E25" s="414">
        <f t="shared" ref="E25:I25" si="22">D25*(1+E$3)</f>
        <v>5722.2425699999994</v>
      </c>
      <c r="F25" s="414">
        <f t="shared" si="22"/>
        <v>5853.8541491099986</v>
      </c>
      <c r="G25" s="414">
        <f t="shared" si="22"/>
        <v>5988.4927945395284</v>
      </c>
      <c r="H25" s="414">
        <f t="shared" si="22"/>
        <v>6126.2281288139366</v>
      </c>
      <c r="I25" s="415">
        <f t="shared" si="22"/>
        <v>6267.1313757766566</v>
      </c>
      <c r="J25" s="336">
        <v>0.32529999999999998</v>
      </c>
      <c r="K25" s="336">
        <v>0.31640000000000001</v>
      </c>
      <c r="L25" s="419">
        <f>IF(C25=0,0,(C25*(1+'Infos FoFö'!$C$65+'Infos FoFö'!$C$67)+'Infos FoFö'!$C$68+'Infos FoFö'!$C$69)*(1+$J25/12))</f>
        <v>7253.2983464294166</v>
      </c>
      <c r="M25" s="414">
        <f>IF(D25=0,0,(D25*(1+'Infos FoFö'!$C$65+'Infos FoFö'!$C$67)+'Infos FoFö'!$C$68+'Infos FoFö'!$C$69)*(1+$K25/12))</f>
        <v>7450.2041877249167</v>
      </c>
      <c r="N25" s="414">
        <f>IF(E25=0,0,(E25*(1+'Infos FoFö'!$C$65+'Infos FoFö'!$C$67)+'Infos FoFö'!$C$68+'Infos FoFö'!$C$69)*(1+$K25/12))</f>
        <v>7620.9049858392564</v>
      </c>
      <c r="O25" s="414">
        <f>IF(F25=0,0,(F25*(1+'Infos FoFö'!$C$65+'Infos FoFö'!$C$67)+'Infos FoFö'!$C$68+'Infos FoFö'!$C$69)*(1+$K25/12))</f>
        <v>7795.5319023102247</v>
      </c>
      <c r="P25" s="414">
        <f>IF(G25=0,0,(G25*(1+'Infos FoFö'!$C$65+'Infos FoFö'!$C$67)+'Infos FoFö'!$C$68+'Infos FoFö'!$C$69)*(1+$K25/12))</f>
        <v>7974.1752378600258</v>
      </c>
      <c r="Q25" s="414">
        <f>IF(H25=0,0,(H25*(1+'Infos FoFö'!$C$65+'Infos FoFö'!$C$67)+'Infos FoFö'!$C$68+'Infos FoFö'!$C$69)*(1+$K25/12))</f>
        <v>8156.9273701274715</v>
      </c>
      <c r="R25" s="414">
        <f>IF(I25=0,0,(I25*(1+'Infos FoFö'!$C$65+'Infos FoFö'!$C$67)+'Infos FoFö'!$C$68+'Infos FoFö'!$C$69)*(1+$K25/12))</f>
        <v>8343.8828014370683</v>
      </c>
      <c r="S25" s="422">
        <f t="shared" si="4"/>
        <v>0.11622527565852635</v>
      </c>
    </row>
    <row r="26" spans="1:19" x14ac:dyDescent="0.35">
      <c r="A26" s="76" t="s">
        <v>75</v>
      </c>
      <c r="B26" s="20">
        <v>3</v>
      </c>
      <c r="C26" s="85">
        <v>4619.2</v>
      </c>
      <c r="D26" s="77">
        <v>4748.54</v>
      </c>
      <c r="E26" s="414">
        <f t="shared" ref="E26:I26" si="23">D26*(1+E$3)</f>
        <v>4857.7564199999997</v>
      </c>
      <c r="F26" s="414">
        <f t="shared" si="23"/>
        <v>4969.484817659999</v>
      </c>
      <c r="G26" s="414">
        <f t="shared" si="23"/>
        <v>5083.7829684661783</v>
      </c>
      <c r="H26" s="414">
        <f t="shared" si="23"/>
        <v>5200.7099767408999</v>
      </c>
      <c r="I26" s="415">
        <f t="shared" si="23"/>
        <v>5320.3263062059405</v>
      </c>
      <c r="J26" s="78">
        <v>0.4647</v>
      </c>
      <c r="K26" s="78">
        <v>0.45200000000000001</v>
      </c>
      <c r="L26" s="419">
        <f>IF(C26=0,0,(C26*(1+'Infos FoFö'!$C$65+'Infos FoFö'!$C$67)+'Infos FoFö'!$C$68+'Infos FoFö'!$C$69)*(1+$J26/12))</f>
        <v>6231.4886892299992</v>
      </c>
      <c r="M26" s="414">
        <f>IF(D26=0,0,(D26*(1+'Infos FoFö'!$C$65+'Infos FoFö'!$C$67)+'Infos FoFö'!$C$68+'Infos FoFö'!$C$69)*(1+$K26/12))</f>
        <v>6398.6418798683335</v>
      </c>
      <c r="N26" s="414">
        <f>IF(E26=0,0,(E26*(1+'Infos FoFö'!$C$65+'Infos FoFö'!$C$67)+'Infos FoFö'!$C$68+'Infos FoFö'!$C$69)*(1+$K26/12))</f>
        <v>6545.1495456719722</v>
      </c>
      <c r="O26" s="414">
        <f>IF(F26=0,0,(F26*(1+'Infos FoFö'!$C$65+'Infos FoFö'!$C$67)+'Infos FoFö'!$C$68+'Infos FoFö'!$C$69)*(1+$K26/12))</f>
        <v>6695.0268877890931</v>
      </c>
      <c r="P26" s="414">
        <f>IF(G26=0,0,(G26*(1+'Infos FoFö'!$C$65+'Infos FoFö'!$C$67)+'Infos FoFö'!$C$68+'Infos FoFö'!$C$69)*(1+$K26/12))</f>
        <v>6848.3514087749081</v>
      </c>
      <c r="Q26" s="414">
        <f>IF(H26=0,0,(H26*(1+'Infos FoFö'!$C$65+'Infos FoFö'!$C$67)+'Infos FoFö'!$C$68+'Infos FoFö'!$C$69)*(1+$K26/12))</f>
        <v>7005.2023937433969</v>
      </c>
      <c r="R26" s="414">
        <f>IF(I26=0,0,(I26*(1+'Infos FoFö'!$C$65+'Infos FoFö'!$C$67)+'Infos FoFö'!$C$68+'Infos FoFö'!$C$69)*(1+$K26/12))</f>
        <v>7165.6609513661615</v>
      </c>
      <c r="S26" s="422">
        <f t="shared" si="4"/>
        <v>0.16397520851886171</v>
      </c>
    </row>
    <row r="27" spans="1:19" x14ac:dyDescent="0.35">
      <c r="A27" s="76" t="s">
        <v>75</v>
      </c>
      <c r="B27" s="20">
        <v>2</v>
      </c>
      <c r="C27" s="85">
        <v>4385.28</v>
      </c>
      <c r="D27" s="77">
        <v>4508.07</v>
      </c>
      <c r="E27" s="414">
        <f t="shared" ref="E27:I27" si="24">D27*(1+E$3)</f>
        <v>4611.7556099999993</v>
      </c>
      <c r="F27" s="414">
        <f t="shared" si="24"/>
        <v>4717.8259890299987</v>
      </c>
      <c r="G27" s="414">
        <f t="shared" si="24"/>
        <v>4826.335986777688</v>
      </c>
      <c r="H27" s="414">
        <f t="shared" si="24"/>
        <v>4937.341714473574</v>
      </c>
      <c r="I27" s="415">
        <f t="shared" si="24"/>
        <v>5050.900573906466</v>
      </c>
      <c r="J27" s="78">
        <v>0.4647</v>
      </c>
      <c r="K27" s="78">
        <v>0.45200000000000001</v>
      </c>
      <c r="L27" s="419">
        <f>IF(C27=0,0,(C27*(1+'Infos FoFö'!$C$65+'Infos FoFö'!$C$67)+'Infos FoFö'!$C$68+'Infos FoFö'!$C$69)*(1+$J27/12))</f>
        <v>5917.378166131999</v>
      </c>
      <c r="M27" s="414">
        <f>IF(D27=0,0,(D27*(1+'Infos FoFö'!$C$65+'Infos FoFö'!$C$67)+'Infos FoFö'!$C$68+'Infos FoFö'!$C$69)*(1+$K27/12))</f>
        <v>6076.0649413841666</v>
      </c>
      <c r="N27" s="414">
        <f>IF(E27=0,0,(E27*(1+'Infos FoFö'!$C$65+'Infos FoFö'!$C$67)+'Infos FoFö'!$C$68+'Infos FoFö'!$C$69)*(1+$K27/12))</f>
        <v>6215.1533376026691</v>
      </c>
      <c r="O27" s="414">
        <f>IF(F27=0,0,(F27*(1+'Infos FoFö'!$C$65+'Infos FoFö'!$C$67)+'Infos FoFö'!$C$68+'Infos FoFö'!$C$69)*(1+$K27/12))</f>
        <v>6357.4407669341963</v>
      </c>
      <c r="P27" s="414">
        <f>IF(G27=0,0,(G27*(1+'Infos FoFö'!$C$65+'Infos FoFö'!$C$67)+'Infos FoFö'!$C$68+'Infos FoFö'!$C$69)*(1+$K27/12))</f>
        <v>6503.000807140349</v>
      </c>
      <c r="Q27" s="414">
        <f>IF(H27=0,0,(H27*(1+'Infos FoFö'!$C$65+'Infos FoFö'!$C$67)+'Infos FoFö'!$C$68+'Infos FoFö'!$C$69)*(1+$K27/12))</f>
        <v>6651.9087282712417</v>
      </c>
      <c r="R27" s="414">
        <f>IF(I27=0,0,(I27*(1+'Infos FoFö'!$C$65+'Infos FoFö'!$C$67)+'Infos FoFö'!$C$68+'Infos FoFö'!$C$69)*(1+$K27/12))</f>
        <v>6804.2415315881472</v>
      </c>
      <c r="S27" s="422">
        <f t="shared" si="4"/>
        <v>5.3082719116348813E-2</v>
      </c>
    </row>
    <row r="28" spans="1:19" ht="15" thickBot="1" x14ac:dyDescent="0.4">
      <c r="A28" s="79" t="s">
        <v>75</v>
      </c>
      <c r="B28" s="80">
        <v>1</v>
      </c>
      <c r="C28" s="86">
        <v>0</v>
      </c>
      <c r="D28" s="81">
        <v>0</v>
      </c>
      <c r="E28" s="416">
        <f t="shared" ref="E28:I28" si="25">D28*(1+E$3)</f>
        <v>0</v>
      </c>
      <c r="F28" s="416">
        <f t="shared" si="25"/>
        <v>0</v>
      </c>
      <c r="G28" s="416">
        <f t="shared" si="25"/>
        <v>0</v>
      </c>
      <c r="H28" s="416">
        <f t="shared" si="25"/>
        <v>0</v>
      </c>
      <c r="I28" s="417">
        <f t="shared" si="25"/>
        <v>0</v>
      </c>
      <c r="J28" s="82">
        <v>0.4647</v>
      </c>
      <c r="K28" s="82">
        <v>0.45200000000000001</v>
      </c>
      <c r="L28" s="420">
        <f>IF(C28=0,0,(C28*(1+'Infos FoFö'!$C$65+'Infos FoFö'!$C$67)+'Infos FoFö'!$C$68+'Infos FoFö'!$C$69)*(1+$J28/12))</f>
        <v>0</v>
      </c>
      <c r="M28" s="416">
        <f>IF(D28=0,0,(D28*(1+'Infos FoFö'!$C$65+'Infos FoFö'!$C$67)+'Infos FoFö'!$C$68+'Infos FoFö'!$C$69)*(1+$K28/12))</f>
        <v>0</v>
      </c>
      <c r="N28" s="416">
        <f>IF(E28=0,0,(E28*(1+'Infos FoFö'!$C$65+'Infos FoFö'!$C$67)+'Infos FoFö'!$C$68+'Infos FoFö'!$C$69)*(1+$K28/12))</f>
        <v>0</v>
      </c>
      <c r="O28" s="416">
        <f>IF(F28=0,0,(F28*(1+'Infos FoFö'!$C$65+'Infos FoFö'!$C$67)+'Infos FoFö'!$C$68+'Infos FoFö'!$C$69)*(1+$K28/12))</f>
        <v>0</v>
      </c>
      <c r="P28" s="416">
        <f>IF(G28=0,0,(G28*(1+'Infos FoFö'!$C$65+'Infos FoFö'!$C$67)+'Infos FoFö'!$C$68+'Infos FoFö'!$C$69)*(1+$K28/12))</f>
        <v>0</v>
      </c>
      <c r="Q28" s="416">
        <f>IF(H28=0,0,(H28*(1+'Infos FoFö'!$C$65+'Infos FoFö'!$C$67)+'Infos FoFö'!$C$68+'Infos FoFö'!$C$69)*(1+$K28/12))</f>
        <v>0</v>
      </c>
      <c r="R28" s="416">
        <f>IF(I28=0,0,(I28*(1+'Infos FoFö'!$C$65+'Infos FoFö'!$C$67)+'Infos FoFö'!$C$68+'Infos FoFö'!$C$69)*(1+$K28/12))</f>
        <v>0</v>
      </c>
      <c r="S28" s="423">
        <v>0</v>
      </c>
    </row>
    <row r="29" spans="1:19" x14ac:dyDescent="0.35">
      <c r="A29" s="76" t="s">
        <v>76</v>
      </c>
      <c r="B29" s="20">
        <v>6</v>
      </c>
      <c r="C29" s="85">
        <v>5872.94</v>
      </c>
      <c r="D29" s="77">
        <v>6037.38</v>
      </c>
      <c r="E29" s="414">
        <f t="shared" ref="E29:I29" si="26">D29*(1+E$3)</f>
        <v>6176.23974</v>
      </c>
      <c r="F29" s="414">
        <f t="shared" si="26"/>
        <v>6318.293254019999</v>
      </c>
      <c r="G29" s="414">
        <f t="shared" si="26"/>
        <v>6463.6139988624582</v>
      </c>
      <c r="H29" s="414">
        <f t="shared" si="26"/>
        <v>6612.2771208362938</v>
      </c>
      <c r="I29" s="415">
        <f t="shared" si="26"/>
        <v>6764.3594946155281</v>
      </c>
      <c r="J29" s="78">
        <v>0.4647</v>
      </c>
      <c r="K29" s="78">
        <v>0.45200000000000001</v>
      </c>
      <c r="L29" s="419">
        <f>IF(C29=0,0,(C29*(1+'Infos FoFö'!$C$65+'Infos FoFö'!$C$67)+'Infos FoFö'!$C$68+'Infos FoFö'!$C$69)*(1+$J29/12))</f>
        <v>7915.0254848391241</v>
      </c>
      <c r="M29" s="414">
        <f>IF(D29=0,0,(D29*(1+'Infos FoFö'!$C$65+'Infos FoFö'!$C$67)+'Infos FoFö'!$C$68+'Infos FoFö'!$C$69)*(1+$K29/12))</f>
        <v>8127.5480278116675</v>
      </c>
      <c r="N29" s="414">
        <f>IF(E29=0,0,(E29*(1+'Infos FoFö'!$C$65+'Infos FoFö'!$C$67)+'Infos FoFö'!$C$68+'Infos FoFö'!$C$69)*(1+$K29/12))</f>
        <v>8313.8205350180033</v>
      </c>
      <c r="O29" s="414">
        <f>IF(F29=0,0,(F29*(1+'Infos FoFö'!$C$65+'Infos FoFö'!$C$67)+'Infos FoFö'!$C$68+'Infos FoFö'!$C$69)*(1+$K29/12))</f>
        <v>8504.377309890082</v>
      </c>
      <c r="P29" s="414">
        <f>IF(G29=0,0,(G29*(1+'Infos FoFö'!$C$65+'Infos FoFö'!$C$67)+'Infos FoFö'!$C$68+'Infos FoFö'!$C$69)*(1+$K29/12))</f>
        <v>8699.3168905842176</v>
      </c>
      <c r="Q29" s="414">
        <f>IF(H29=0,0,(H29*(1+'Infos FoFö'!$C$65+'Infos FoFö'!$C$67)+'Infos FoFö'!$C$68+'Infos FoFö'!$C$69)*(1+$K29/12))</f>
        <v>8898.7400816343215</v>
      </c>
      <c r="R29" s="414">
        <f>IF(I29=0,0,(I29*(1+'Infos FoFö'!$C$65+'Infos FoFö'!$C$67)+'Infos FoFö'!$C$68+'Infos FoFö'!$C$69)*(1+$K29/12))</f>
        <v>9102.7500060785751</v>
      </c>
      <c r="S29" s="422">
        <v>0</v>
      </c>
    </row>
    <row r="30" spans="1:19" x14ac:dyDescent="0.35">
      <c r="A30" s="76" t="s">
        <v>76</v>
      </c>
      <c r="B30" s="20">
        <v>5</v>
      </c>
      <c r="C30" s="85">
        <v>5701.88</v>
      </c>
      <c r="D30" s="77">
        <v>5861.53</v>
      </c>
      <c r="E30" s="414">
        <f t="shared" ref="E30:I30" si="27">D30*(1+E$3)</f>
        <v>5996.3451899999991</v>
      </c>
      <c r="F30" s="414">
        <f t="shared" si="27"/>
        <v>6134.2611293699983</v>
      </c>
      <c r="G30" s="414">
        <f t="shared" si="27"/>
        <v>6275.3491353455074</v>
      </c>
      <c r="H30" s="414">
        <f t="shared" si="27"/>
        <v>6419.6821654584537</v>
      </c>
      <c r="I30" s="415">
        <f t="shared" si="27"/>
        <v>6567.3348552639973</v>
      </c>
      <c r="J30" s="78">
        <v>0.4647</v>
      </c>
      <c r="K30" s="78">
        <v>0.45200000000000001</v>
      </c>
      <c r="L30" s="419">
        <f>IF(C30=0,0,(C30*(1+'Infos FoFö'!$C$65+'Infos FoFö'!$C$67)+'Infos FoFö'!$C$68+'Infos FoFö'!$C$69)*(1+$J30/12))</f>
        <v>7685.324107953249</v>
      </c>
      <c r="M30" s="414">
        <f>IF(D30=0,0,(D30*(1+'Infos FoFö'!$C$65+'Infos FoFö'!$C$67)+'Infos FoFö'!$C$68+'Infos FoFö'!$C$69)*(1+$K30/12))</f>
        <v>7891.6551736825004</v>
      </c>
      <c r="N30" s="414">
        <f>IF(E30=0,0,(E30*(1+'Infos FoFö'!$C$65+'Infos FoFö'!$C$67)+'Infos FoFö'!$C$68+'Infos FoFö'!$C$69)*(1+$K30/12))</f>
        <v>8072.5021452438641</v>
      </c>
      <c r="O30" s="414">
        <f>IF(F30=0,0,(F30*(1+'Infos FoFö'!$C$65+'Infos FoFö'!$C$67)+'Infos FoFö'!$C$68+'Infos FoFö'!$C$69)*(1+$K30/12))</f>
        <v>8257.508597151138</v>
      </c>
      <c r="P30" s="414">
        <f>IF(G30=0,0,(G30*(1+'Infos FoFö'!$C$65+'Infos FoFö'!$C$67)+'Infos FoFö'!$C$68+'Infos FoFö'!$C$69)*(1+$K30/12))</f>
        <v>8446.7701974522806</v>
      </c>
      <c r="Q30" s="414">
        <f>IF(H30=0,0,(H30*(1+'Infos FoFö'!$C$65+'Infos FoFö'!$C$67)+'Infos FoFö'!$C$68+'Infos FoFö'!$C$69)*(1+$K30/12))</f>
        <v>8640.3848145603479</v>
      </c>
      <c r="R30" s="414">
        <f>IF(I30=0,0,(I30*(1+'Infos FoFö'!$C$65+'Infos FoFö'!$C$67)+'Infos FoFö'!$C$68+'Infos FoFö'!$C$69)*(1+$K30/12))</f>
        <v>8838.4525678619011</v>
      </c>
      <c r="S30" s="422">
        <f t="shared" ref="S30:S61" si="28">IF((L29-L30)/L30&lt;0,0,(L29-L30)/L30)</f>
        <v>2.9888313577844546E-2</v>
      </c>
    </row>
    <row r="31" spans="1:19" x14ac:dyDescent="0.35">
      <c r="A31" s="76" t="s">
        <v>76</v>
      </c>
      <c r="B31" s="20">
        <v>4</v>
      </c>
      <c r="C31" s="85">
        <v>5073.66</v>
      </c>
      <c r="D31" s="77">
        <v>5215.72</v>
      </c>
      <c r="E31" s="414">
        <f t="shared" ref="E31:I31" si="29">D31*(1+E$3)</f>
        <v>5335.68156</v>
      </c>
      <c r="F31" s="414">
        <f t="shared" si="29"/>
        <v>5458.4022358799994</v>
      </c>
      <c r="G31" s="414">
        <f t="shared" si="29"/>
        <v>5583.9454873052391</v>
      </c>
      <c r="H31" s="414">
        <f t="shared" si="29"/>
        <v>5712.3762335132587</v>
      </c>
      <c r="I31" s="415">
        <f t="shared" si="29"/>
        <v>5843.7608868840634</v>
      </c>
      <c r="J31" s="78">
        <v>0.4647</v>
      </c>
      <c r="K31" s="78">
        <v>0.45200000000000001</v>
      </c>
      <c r="L31" s="419">
        <f>IF(C31=0,0,(C31*(1+'Infos FoFö'!$C$65+'Infos FoFö'!$C$67)+'Infos FoFö'!$C$68+'Infos FoFö'!$C$69)*(1+$J31/12))</f>
        <v>6841.7429142946239</v>
      </c>
      <c r="M31" s="414">
        <f>IF(D31=0,0,(D31*(1+'Infos FoFö'!$C$65+'Infos FoFö'!$C$67)+'Infos FoFö'!$C$68+'Infos FoFö'!$C$69)*(1+$K31/12))</f>
        <v>7025.3374931300004</v>
      </c>
      <c r="N31" s="414">
        <f>IF(E31=0,0,(E31*(1+'Infos FoFö'!$C$65+'Infos FoFö'!$C$67)+'Infos FoFö'!$C$68+'Infos FoFö'!$C$69)*(1+$K31/12))</f>
        <v>7186.259158038657</v>
      </c>
      <c r="O31" s="414">
        <f>IF(F31=0,0,(F31*(1+'Infos FoFö'!$C$65+'Infos FoFö'!$C$67)+'Infos FoFö'!$C$68+'Infos FoFö'!$C$69)*(1+$K31/12))</f>
        <v>7350.8820212402125</v>
      </c>
      <c r="P31" s="414">
        <f>IF(G31=0,0,(G31*(1+'Infos FoFö'!$C$65+'Infos FoFö'!$C$67)+'Infos FoFö'!$C$68+'Infos FoFö'!$C$69)*(1+$K31/12))</f>
        <v>7519.2912102954033</v>
      </c>
      <c r="Q31" s="414">
        <f>IF(H31=0,0,(H31*(1+'Infos FoFö'!$C$65+'Infos FoFö'!$C$67)+'Infos FoFö'!$C$68+'Infos FoFö'!$C$69)*(1+$K31/12))</f>
        <v>7691.5738106988638</v>
      </c>
      <c r="R31" s="414">
        <f>IF(I31=0,0,(I31*(1+'Infos FoFö'!$C$65+'Infos FoFö'!$C$67)+'Infos FoFö'!$C$68+'Infos FoFö'!$C$69)*(1+$K31/12))</f>
        <v>7867.8189109116038</v>
      </c>
      <c r="S31" s="422">
        <f t="shared" si="28"/>
        <v>0.12329916575732625</v>
      </c>
    </row>
    <row r="32" spans="1:19" x14ac:dyDescent="0.35">
      <c r="A32" s="76" t="s">
        <v>76</v>
      </c>
      <c r="B32" s="20">
        <v>3</v>
      </c>
      <c r="C32" s="85">
        <v>4619.2</v>
      </c>
      <c r="D32" s="77">
        <v>4748.54</v>
      </c>
      <c r="E32" s="414">
        <f t="shared" ref="E32:I32" si="30">D32*(1+E$3)</f>
        <v>4857.7564199999997</v>
      </c>
      <c r="F32" s="414">
        <f t="shared" si="30"/>
        <v>4969.484817659999</v>
      </c>
      <c r="G32" s="414">
        <f t="shared" si="30"/>
        <v>5083.7829684661783</v>
      </c>
      <c r="H32" s="414">
        <f t="shared" si="30"/>
        <v>5200.7099767408999</v>
      </c>
      <c r="I32" s="415">
        <f t="shared" si="30"/>
        <v>5320.3263062059405</v>
      </c>
      <c r="J32" s="78">
        <v>0.4647</v>
      </c>
      <c r="K32" s="78">
        <v>0.45200000000000001</v>
      </c>
      <c r="L32" s="419">
        <f>IF(C32=0,0,(C32*(1+'Infos FoFö'!$C$65+'Infos FoFö'!$C$67)+'Infos FoFö'!$C$68+'Infos FoFö'!$C$69)*(1+$J32/12))</f>
        <v>6231.4886892299992</v>
      </c>
      <c r="M32" s="414">
        <f>IF(D32=0,0,(D32*(1+'Infos FoFö'!$C$65+'Infos FoFö'!$C$67)+'Infos FoFö'!$C$68+'Infos FoFö'!$C$69)*(1+$K32/12))</f>
        <v>6398.6418798683335</v>
      </c>
      <c r="N32" s="414">
        <f>IF(E32=0,0,(E32*(1+'Infos FoFö'!$C$65+'Infos FoFö'!$C$67)+'Infos FoFö'!$C$68+'Infos FoFö'!$C$69)*(1+$K32/12))</f>
        <v>6545.1495456719722</v>
      </c>
      <c r="O32" s="414">
        <f>IF(F32=0,0,(F32*(1+'Infos FoFö'!$C$65+'Infos FoFö'!$C$67)+'Infos FoFö'!$C$68+'Infos FoFö'!$C$69)*(1+$K32/12))</f>
        <v>6695.0268877890931</v>
      </c>
      <c r="P32" s="414">
        <f>IF(G32=0,0,(G32*(1+'Infos FoFö'!$C$65+'Infos FoFö'!$C$67)+'Infos FoFö'!$C$68+'Infos FoFö'!$C$69)*(1+$K32/12))</f>
        <v>6848.3514087749081</v>
      </c>
      <c r="Q32" s="414">
        <f>IF(H32=0,0,(H32*(1+'Infos FoFö'!$C$65+'Infos FoFö'!$C$67)+'Infos FoFö'!$C$68+'Infos FoFö'!$C$69)*(1+$K32/12))</f>
        <v>7005.2023937433969</v>
      </c>
      <c r="R32" s="414">
        <f>IF(I32=0,0,(I32*(1+'Infos FoFö'!$C$65+'Infos FoFö'!$C$67)+'Infos FoFö'!$C$68+'Infos FoFö'!$C$69)*(1+$K32/12))</f>
        <v>7165.6609513661615</v>
      </c>
      <c r="S32" s="422">
        <f t="shared" si="28"/>
        <v>9.7930728193302952E-2</v>
      </c>
    </row>
    <row r="33" spans="1:19" x14ac:dyDescent="0.35">
      <c r="A33" s="76" t="s">
        <v>76</v>
      </c>
      <c r="B33" s="20">
        <v>2</v>
      </c>
      <c r="C33" s="85">
        <v>4385.28</v>
      </c>
      <c r="D33" s="77">
        <v>4508.07</v>
      </c>
      <c r="E33" s="414">
        <f t="shared" ref="E33:I33" si="31">D33*(1+E$3)</f>
        <v>4611.7556099999993</v>
      </c>
      <c r="F33" s="414">
        <f t="shared" si="31"/>
        <v>4717.8259890299987</v>
      </c>
      <c r="G33" s="414">
        <f t="shared" si="31"/>
        <v>4826.335986777688</v>
      </c>
      <c r="H33" s="414">
        <f t="shared" si="31"/>
        <v>4937.341714473574</v>
      </c>
      <c r="I33" s="415">
        <f t="shared" si="31"/>
        <v>5050.900573906466</v>
      </c>
      <c r="J33" s="78">
        <v>0.4647</v>
      </c>
      <c r="K33" s="78">
        <v>0.45200000000000001</v>
      </c>
      <c r="L33" s="419">
        <f>IF(C33=0,0,(C33*(1+'Infos FoFö'!$C$65+'Infos FoFö'!$C$67)+'Infos FoFö'!$C$68+'Infos FoFö'!$C$69)*(1+$J33/12))</f>
        <v>5917.378166131999</v>
      </c>
      <c r="M33" s="414">
        <f>IF(D33=0,0,(D33*(1+'Infos FoFö'!$C$65+'Infos FoFö'!$C$67)+'Infos FoFö'!$C$68+'Infos FoFö'!$C$69)*(1+$K33/12))</f>
        <v>6076.0649413841666</v>
      </c>
      <c r="N33" s="414">
        <f>IF(E33=0,0,(E33*(1+'Infos FoFö'!$C$65+'Infos FoFö'!$C$67)+'Infos FoFö'!$C$68+'Infos FoFö'!$C$69)*(1+$K33/12))</f>
        <v>6215.1533376026691</v>
      </c>
      <c r="O33" s="414">
        <f>IF(F33=0,0,(F33*(1+'Infos FoFö'!$C$65+'Infos FoFö'!$C$67)+'Infos FoFö'!$C$68+'Infos FoFö'!$C$69)*(1+$K33/12))</f>
        <v>6357.4407669341963</v>
      </c>
      <c r="P33" s="414">
        <f>IF(G33=0,0,(G33*(1+'Infos FoFö'!$C$65+'Infos FoFö'!$C$67)+'Infos FoFö'!$C$68+'Infos FoFö'!$C$69)*(1+$K33/12))</f>
        <v>6503.000807140349</v>
      </c>
      <c r="Q33" s="414">
        <f>IF(H33=0,0,(H33*(1+'Infos FoFö'!$C$65+'Infos FoFö'!$C$67)+'Infos FoFö'!$C$68+'Infos FoFö'!$C$69)*(1+$K33/12))</f>
        <v>6651.9087282712417</v>
      </c>
      <c r="R33" s="414">
        <f>IF(I33=0,0,(I33*(1+'Infos FoFö'!$C$65+'Infos FoFö'!$C$67)+'Infos FoFö'!$C$68+'Infos FoFö'!$C$69)*(1+$K33/12))</f>
        <v>6804.2415315881472</v>
      </c>
      <c r="S33" s="422">
        <f t="shared" si="28"/>
        <v>5.3082719116348813E-2</v>
      </c>
    </row>
    <row r="34" spans="1:19" ht="15" thickBot="1" x14ac:dyDescent="0.4">
      <c r="A34" s="76" t="s">
        <v>76</v>
      </c>
      <c r="B34" s="20">
        <v>1</v>
      </c>
      <c r="C34" s="85">
        <v>4074.3</v>
      </c>
      <c r="D34" s="77">
        <v>4188.38</v>
      </c>
      <c r="E34" s="414">
        <f t="shared" ref="E34:I34" si="32">D34*(1+E$3)</f>
        <v>4284.7127399999999</v>
      </c>
      <c r="F34" s="414">
        <f t="shared" si="32"/>
        <v>4383.2611330199998</v>
      </c>
      <c r="G34" s="414">
        <f t="shared" si="32"/>
        <v>4484.0761390794596</v>
      </c>
      <c r="H34" s="414">
        <f t="shared" si="32"/>
        <v>4587.2098902782864</v>
      </c>
      <c r="I34" s="415">
        <f t="shared" si="32"/>
        <v>4692.7157177546869</v>
      </c>
      <c r="J34" s="78">
        <v>0.4647</v>
      </c>
      <c r="K34" s="78">
        <v>0.45200000000000001</v>
      </c>
      <c r="L34" s="419">
        <f>IF(C34=0,0,(C34*(1+'Infos FoFö'!$C$65+'Infos FoFö'!$C$67)+'Infos FoFö'!$C$68+'Infos FoFö'!$C$69)*(1+$J34/12))</f>
        <v>5499.7905700606243</v>
      </c>
      <c r="M34" s="414">
        <f>IF(D34=0,0,(D34*(1+'Infos FoFö'!$C$65+'Infos FoFö'!$C$67)+'Infos FoFö'!$C$68+'Infos FoFö'!$C$69)*(1+$K34/12))</f>
        <v>5647.2188422283343</v>
      </c>
      <c r="N34" s="414">
        <f>IF(E34=0,0,(E34*(1+'Infos FoFö'!$C$65+'Infos FoFö'!$C$67)+'Infos FoFö'!$C$68+'Infos FoFö'!$C$69)*(1+$K34/12))</f>
        <v>5776.4437781662527</v>
      </c>
      <c r="O34" s="414">
        <f>IF(F34=0,0,(F34*(1+'Infos FoFö'!$C$65+'Infos FoFö'!$C$67)+'Infos FoFö'!$C$68+'Infos FoFö'!$C$69)*(1+$K34/12))</f>
        <v>5908.6408876307423</v>
      </c>
      <c r="P34" s="414">
        <f>IF(G34=0,0,(G34*(1+'Infos FoFö'!$C$65+'Infos FoFö'!$C$67)+'Infos FoFö'!$C$68+'Infos FoFö'!$C$69)*(1+$K34/12))</f>
        <v>6043.8785306129166</v>
      </c>
      <c r="Q34" s="414">
        <f>IF(H34=0,0,(H34*(1+'Infos FoFö'!$C$65+'Infos FoFö'!$C$67)+'Infos FoFö'!$C$68+'Infos FoFö'!$C$69)*(1+$K34/12))</f>
        <v>6182.226639383678</v>
      </c>
      <c r="R34" s="414">
        <f>IF(I34=0,0,(I34*(1+'Infos FoFö'!$C$65+'Infos FoFö'!$C$67)+'Infos FoFö'!$C$68+'Infos FoFö'!$C$69)*(1+$K34/12))</f>
        <v>6323.7567546561695</v>
      </c>
      <c r="S34" s="422">
        <f t="shared" si="28"/>
        <v>7.5927908663396909E-2</v>
      </c>
    </row>
    <row r="35" spans="1:19" x14ac:dyDescent="0.35">
      <c r="A35" s="87" t="s">
        <v>77</v>
      </c>
      <c r="B35" s="88">
        <v>6</v>
      </c>
      <c r="C35" s="89">
        <v>5749.03</v>
      </c>
      <c r="D35" s="90">
        <v>5910</v>
      </c>
      <c r="E35" s="412">
        <f t="shared" ref="E35:I35" si="33">D35*(1+E$3)</f>
        <v>6045.9299999999994</v>
      </c>
      <c r="F35" s="412">
        <f t="shared" si="33"/>
        <v>6184.9863899999991</v>
      </c>
      <c r="G35" s="412">
        <f t="shared" si="33"/>
        <v>6327.2410769699982</v>
      </c>
      <c r="H35" s="412">
        <f t="shared" si="33"/>
        <v>6472.7676217403077</v>
      </c>
      <c r="I35" s="413">
        <f t="shared" si="33"/>
        <v>6621.641277040334</v>
      </c>
      <c r="J35" s="91">
        <v>0.4647</v>
      </c>
      <c r="K35" s="91">
        <v>0.45200000000000001</v>
      </c>
      <c r="L35" s="418">
        <f>IF(C35=0,0,(C35*(1+'Infos FoFö'!$C$65+'Infos FoFö'!$C$67)+'Infos FoFö'!$C$68+'Infos FoFö'!$C$69)*(1+$J35/12))</f>
        <v>7748.6376816710617</v>
      </c>
      <c r="M35" s="412">
        <f>IF(D35=0,0,(D35*(1+'Infos FoFö'!$C$65+'Infos FoFö'!$C$67)+'Infos FoFö'!$C$68+'Infos FoFö'!$C$69)*(1+$K35/12))</f>
        <v>7956.674944166667</v>
      </c>
      <c r="N35" s="412">
        <f>IF(E35=0,0,(E35*(1+'Infos FoFö'!$C$65+'Infos FoFö'!$C$67)+'Infos FoFö'!$C$68+'Infos FoFö'!$C$69)*(1+$K35/12))</f>
        <v>8139.0173704491672</v>
      </c>
      <c r="O35" s="412">
        <f>IF(F35=0,0,(F35*(1+'Infos FoFö'!$C$65+'Infos FoFö'!$C$67)+'Infos FoFö'!$C$68+'Infos FoFö'!$C$69)*(1+$K35/12))</f>
        <v>8325.5536725361635</v>
      </c>
      <c r="P35" s="412">
        <f>IF(G35=0,0,(G35*(1+'Infos FoFö'!$C$65+'Infos FoFö'!$C$67)+'Infos FoFö'!$C$68+'Infos FoFö'!$C$69)*(1+$K35/12))</f>
        <v>8516.380309571161</v>
      </c>
      <c r="Q35" s="412">
        <f>IF(H35=0,0,(H35*(1+'Infos FoFö'!$C$65+'Infos FoFö'!$C$67)+'Infos FoFö'!$C$68+'Infos FoFö'!$C$69)*(1+$K35/12))</f>
        <v>8711.5959592579638</v>
      </c>
      <c r="R35" s="412">
        <f>IF(I35=0,0,(I35*(1+'Infos FoFö'!$C$65+'Infos FoFö'!$C$67)+'Infos FoFö'!$C$68+'Infos FoFö'!$C$69)*(1+$K35/12))</f>
        <v>8911.3015688875621</v>
      </c>
      <c r="S35" s="421">
        <f t="shared" si="28"/>
        <v>0</v>
      </c>
    </row>
    <row r="36" spans="1:19" x14ac:dyDescent="0.35">
      <c r="A36" s="76" t="s">
        <v>77</v>
      </c>
      <c r="B36" s="20">
        <v>5</v>
      </c>
      <c r="C36" s="85">
        <v>5581.59</v>
      </c>
      <c r="D36" s="77">
        <v>5737.87</v>
      </c>
      <c r="E36" s="414">
        <f t="shared" ref="E36:I36" si="34">D36*(1+E$3)</f>
        <v>5869.8410099999992</v>
      </c>
      <c r="F36" s="414">
        <f t="shared" si="34"/>
        <v>6004.8473532299986</v>
      </c>
      <c r="G36" s="414">
        <f t="shared" si="34"/>
        <v>6142.9588423542882</v>
      </c>
      <c r="H36" s="414">
        <f t="shared" si="34"/>
        <v>6284.2468957284364</v>
      </c>
      <c r="I36" s="415">
        <f t="shared" si="34"/>
        <v>6428.7845743301896</v>
      </c>
      <c r="J36" s="78">
        <v>0.4647</v>
      </c>
      <c r="K36" s="78">
        <v>0.45200000000000001</v>
      </c>
      <c r="L36" s="419">
        <f>IF(C36=0,0,(C36*(1+'Infos FoFö'!$C$65+'Infos FoFö'!$C$67)+'Infos FoFö'!$C$68+'Infos FoFö'!$C$69)*(1+$J36/12))</f>
        <v>7523.797283297562</v>
      </c>
      <c r="M36" s="414">
        <f>IF(D36=0,0,(D36*(1+'Infos FoFö'!$C$65+'Infos FoFö'!$C$67)+'Infos FoFö'!$C$68+'Infos FoFö'!$C$69)*(1+$K36/12))</f>
        <v>7725.7722601675005</v>
      </c>
      <c r="N36" s="414">
        <f>IF(E36=0,0,(E36*(1+'Infos FoFö'!$C$65+'Infos FoFö'!$C$67)+'Infos FoFö'!$C$68+'Infos FoFö'!$C$69)*(1+$K36/12))</f>
        <v>7902.8039247180186</v>
      </c>
      <c r="O36" s="414">
        <f>IF(F36=0,0,(F36*(1+'Infos FoFö'!$C$65+'Infos FoFö'!$C$67)+'Infos FoFö'!$C$68+'Infos FoFö'!$C$69)*(1+$K36/12))</f>
        <v>8083.9073175531985</v>
      </c>
      <c r="P36" s="414">
        <f>IF(G36=0,0,(G36*(1+'Infos FoFö'!$C$65+'Infos FoFö'!$C$67)+'Infos FoFö'!$C$68+'Infos FoFö'!$C$69)*(1+$K36/12))</f>
        <v>8269.1760884235882</v>
      </c>
      <c r="Q36" s="414">
        <f>IF(H36=0,0,(H36*(1+'Infos FoFö'!$C$65+'Infos FoFö'!$C$67)+'Infos FoFö'!$C$68+'Infos FoFö'!$C$69)*(1+$K36/12))</f>
        <v>8458.7060410239974</v>
      </c>
      <c r="R36" s="414">
        <f>IF(I36=0,0,(I36*(1+'Infos FoFö'!$C$65+'Infos FoFö'!$C$67)+'Infos FoFö'!$C$68+'Infos FoFö'!$C$69)*(1+$K36/12))</f>
        <v>8652.5951825342145</v>
      </c>
      <c r="S36" s="422">
        <f t="shared" si="28"/>
        <v>2.9883899034950572E-2</v>
      </c>
    </row>
    <row r="37" spans="1:19" x14ac:dyDescent="0.35">
      <c r="A37" s="76" t="s">
        <v>77</v>
      </c>
      <c r="B37" s="20">
        <v>4</v>
      </c>
      <c r="C37" s="85">
        <v>4960.05</v>
      </c>
      <c r="D37" s="77">
        <v>5098.93</v>
      </c>
      <c r="E37" s="414">
        <f t="shared" ref="E37:I37" si="35">D37*(1+E$3)</f>
        <v>5216.2053900000001</v>
      </c>
      <c r="F37" s="414">
        <f t="shared" si="35"/>
        <v>5336.1781139699997</v>
      </c>
      <c r="G37" s="414">
        <f t="shared" si="35"/>
        <v>5458.9102105913089</v>
      </c>
      <c r="H37" s="414">
        <f t="shared" si="35"/>
        <v>5584.4651454349087</v>
      </c>
      <c r="I37" s="415">
        <f t="shared" si="35"/>
        <v>5712.9078437799108</v>
      </c>
      <c r="J37" s="78">
        <v>0.4647</v>
      </c>
      <c r="K37" s="78">
        <v>0.45200000000000001</v>
      </c>
      <c r="L37" s="419">
        <f>IF(C37=0,0,(C37*(1+'Infos FoFö'!$C$65+'Infos FoFö'!$C$67)+'Infos FoFö'!$C$68+'Infos FoFö'!$C$69)*(1+$J37/12))</f>
        <v>6689.1860720871873</v>
      </c>
      <c r="M37" s="414">
        <f>IF(D37=0,0,(D37*(1+'Infos FoFö'!$C$65+'Infos FoFö'!$C$67)+'Infos FoFö'!$C$68+'Infos FoFö'!$C$69)*(1+$K37/12))</f>
        <v>6868.6702970325005</v>
      </c>
      <c r="N37" s="414">
        <f>IF(E37=0,0,(E37*(1+'Infos FoFö'!$C$65+'Infos FoFö'!$C$67)+'Infos FoFö'!$C$68+'Infos FoFö'!$C$69)*(1+$K37/12))</f>
        <v>7025.9886164309155</v>
      </c>
      <c r="O37" s="414">
        <f>IF(F37=0,0,(F37*(1+'Infos FoFö'!$C$65+'Infos FoFö'!$C$67)+'Infos FoFö'!$C$68+'Infos FoFö'!$C$69)*(1+$K37/12))</f>
        <v>7186.9252571754923</v>
      </c>
      <c r="P37" s="414">
        <f>IF(G37=0,0,(G37*(1+'Infos FoFö'!$C$65+'Infos FoFö'!$C$67)+'Infos FoFö'!$C$68+'Infos FoFö'!$C$69)*(1+$K37/12))</f>
        <v>7351.5634406571944</v>
      </c>
      <c r="Q37" s="414">
        <f>IF(H37=0,0,(H37*(1+'Infos FoFö'!$C$65+'Infos FoFö'!$C$67)+'Infos FoFö'!$C$68+'Infos FoFö'!$C$69)*(1+$K37/12))</f>
        <v>7519.9883023589755</v>
      </c>
      <c r="R37" s="414">
        <f>IF(I37=0,0,(I37*(1+'Infos FoFö'!$C$65+'Infos FoFö'!$C$67)+'Infos FoFö'!$C$68+'Infos FoFö'!$C$69)*(1+$K37/12))</f>
        <v>7692.286935879898</v>
      </c>
      <c r="S37" s="422">
        <f t="shared" si="28"/>
        <v>0.12477021900961351</v>
      </c>
    </row>
    <row r="38" spans="1:19" x14ac:dyDescent="0.35">
      <c r="A38" s="76" t="s">
        <v>77</v>
      </c>
      <c r="B38" s="20">
        <v>3</v>
      </c>
      <c r="C38" s="85">
        <v>4478.8500000000004</v>
      </c>
      <c r="D38" s="77">
        <v>4604.26</v>
      </c>
      <c r="E38" s="414">
        <f t="shared" ref="E38:I38" si="36">D38*(1+E$3)</f>
        <v>4710.15798</v>
      </c>
      <c r="F38" s="414">
        <f t="shared" si="36"/>
        <v>4818.4916135399999</v>
      </c>
      <c r="G38" s="414">
        <f t="shared" si="36"/>
        <v>4929.3169206514194</v>
      </c>
      <c r="H38" s="414">
        <f t="shared" si="36"/>
        <v>5042.691209826402</v>
      </c>
      <c r="I38" s="415">
        <f t="shared" si="36"/>
        <v>5158.6731076524084</v>
      </c>
      <c r="J38" s="78">
        <v>0.4647</v>
      </c>
      <c r="K38" s="78">
        <v>0.45200000000000001</v>
      </c>
      <c r="L38" s="419">
        <f>IF(C38=0,0,(C38*(1+'Infos FoFö'!$C$65+'Infos FoFö'!$C$67)+'Infos FoFö'!$C$68+'Infos FoFö'!$C$69)*(1+$J38/12))</f>
        <v>6043.0250609946879</v>
      </c>
      <c r="M38" s="414">
        <f>IF(D38=0,0,(D38*(1+'Infos FoFö'!$C$65+'Infos FoFö'!$C$67)+'Infos FoFö'!$C$68+'Infos FoFö'!$C$69)*(1+$K38/12))</f>
        <v>6205.0983996650011</v>
      </c>
      <c r="N38" s="414">
        <f>IF(E38=0,0,(E38*(1+'Infos FoFö'!$C$65+'Infos FoFö'!$C$67)+'Infos FoFö'!$C$68+'Infos FoFö'!$C$69)*(1+$K38/12))</f>
        <v>6347.1545654239626</v>
      </c>
      <c r="O38" s="414">
        <f>IF(F38=0,0,(F38*(1+'Infos FoFö'!$C$65+'Infos FoFö'!$C$67)+'Infos FoFö'!$C$68+'Infos FoFö'!$C$69)*(1+$K38/12))</f>
        <v>6492.4780229953803</v>
      </c>
      <c r="P38" s="414">
        <f>IF(G38=0,0,(G38*(1+'Infos FoFö'!$C$65+'Infos FoFö'!$C$67)+'Infos FoFö'!$C$68+'Infos FoFö'!$C$69)*(1+$K38/12))</f>
        <v>6641.1439200909399</v>
      </c>
      <c r="Q38" s="414">
        <f>IF(H38=0,0,(H38*(1+'Infos FoFö'!$C$65+'Infos FoFö'!$C$67)+'Infos FoFö'!$C$68+'Infos FoFö'!$C$69)*(1+$K38/12))</f>
        <v>6793.229132819698</v>
      </c>
      <c r="R38" s="414">
        <f>IF(I38=0,0,(I38*(1+'Infos FoFö'!$C$65+'Infos FoFö'!$C$67)+'Infos FoFö'!$C$68+'Infos FoFö'!$C$69)*(1+$K38/12))</f>
        <v>6948.8123054412163</v>
      </c>
      <c r="S38" s="422">
        <f t="shared" si="28"/>
        <v>0.10692674688099682</v>
      </c>
    </row>
    <row r="39" spans="1:19" x14ac:dyDescent="0.35">
      <c r="A39" s="76" t="s">
        <v>77</v>
      </c>
      <c r="B39" s="20">
        <v>2</v>
      </c>
      <c r="C39" s="85">
        <v>3930.82</v>
      </c>
      <c r="D39" s="77">
        <v>4040.88</v>
      </c>
      <c r="E39" s="414">
        <f t="shared" ref="E39:I39" si="37">D39*(1+E$3)</f>
        <v>4133.82024</v>
      </c>
      <c r="F39" s="414">
        <f t="shared" si="37"/>
        <v>4228.8981055199993</v>
      </c>
      <c r="G39" s="414">
        <f t="shared" si="37"/>
        <v>4326.1627619469591</v>
      </c>
      <c r="H39" s="414">
        <f t="shared" si="37"/>
        <v>4425.6645054717392</v>
      </c>
      <c r="I39" s="415">
        <f t="shared" si="37"/>
        <v>4527.4547890975891</v>
      </c>
      <c r="J39" s="78">
        <v>0.4647</v>
      </c>
      <c r="K39" s="78">
        <v>0.45200000000000001</v>
      </c>
      <c r="L39" s="419">
        <f>IF(C39=0,0,(C39*(1+'Infos FoFö'!$C$65+'Infos FoFö'!$C$67)+'Infos FoFö'!$C$68+'Infos FoFö'!$C$69)*(1+$J39/12))</f>
        <v>5307.1239410673752</v>
      </c>
      <c r="M39" s="414">
        <f>IF(D39=0,0,(D39*(1+'Infos FoFö'!$C$65+'Infos FoFö'!$C$67)+'Infos FoFö'!$C$68+'Infos FoFö'!$C$69)*(1+$K39/12))</f>
        <v>5449.355913686667</v>
      </c>
      <c r="N39" s="414">
        <f>IF(E39=0,0,(E39*(1+'Infos FoFö'!$C$65+'Infos FoFö'!$C$67)+'Infos FoFö'!$C$68+'Infos FoFö'!$C$69)*(1+$K39/12))</f>
        <v>5574.0300022681267</v>
      </c>
      <c r="O39" s="414">
        <f>IF(F39=0,0,(F39*(1+'Infos FoFö'!$C$65+'Infos FoFö'!$C$67)+'Infos FoFö'!$C$68+'Infos FoFö'!$C$69)*(1+$K39/12))</f>
        <v>5701.5715948869602</v>
      </c>
      <c r="P39" s="414">
        <f>IF(G39=0,0,(G39*(1+'Infos FoFö'!$C$65+'Infos FoFö'!$C$67)+'Infos FoFö'!$C$68+'Infos FoFö'!$C$69)*(1+$K39/12))</f>
        <v>5832.0466441360268</v>
      </c>
      <c r="Q39" s="414">
        <f>IF(H39=0,0,(H39*(1+'Infos FoFö'!$C$65+'Infos FoFö'!$C$67)+'Infos FoFö'!$C$68+'Infos FoFö'!$C$69)*(1+$K39/12))</f>
        <v>5965.5226195178211</v>
      </c>
      <c r="R39" s="414">
        <f>IF(I39=0,0,(I39*(1+'Infos FoFö'!$C$65+'Infos FoFö'!$C$67)+'Infos FoFö'!$C$68+'Infos FoFö'!$C$69)*(1+$K39/12))</f>
        <v>6102.068542333398</v>
      </c>
      <c r="S39" s="422">
        <f t="shared" si="28"/>
        <v>0.13866288560415782</v>
      </c>
    </row>
    <row r="40" spans="1:19" ht="15" thickBot="1" x14ac:dyDescent="0.4">
      <c r="A40" s="79" t="s">
        <v>77</v>
      </c>
      <c r="B40" s="80">
        <v>1</v>
      </c>
      <c r="C40" s="86">
        <v>3672.04</v>
      </c>
      <c r="D40" s="81">
        <v>3774.86</v>
      </c>
      <c r="E40" s="416">
        <f t="shared" ref="E40:I40" si="38">D40*(1+E$3)</f>
        <v>3861.6817799999999</v>
      </c>
      <c r="F40" s="416">
        <f t="shared" si="38"/>
        <v>3950.5004609399994</v>
      </c>
      <c r="G40" s="416">
        <f t="shared" si="38"/>
        <v>4041.3619715416189</v>
      </c>
      <c r="H40" s="416">
        <f t="shared" si="38"/>
        <v>4134.3132968870759</v>
      </c>
      <c r="I40" s="417">
        <f t="shared" si="38"/>
        <v>4229.4025027154785</v>
      </c>
      <c r="J40" s="82">
        <v>0.4647</v>
      </c>
      <c r="K40" s="82">
        <v>0.45200000000000001</v>
      </c>
      <c r="L40" s="420">
        <f>IF(C40=0,0,(C40*(1+'Infos FoFö'!$C$65+'Infos FoFö'!$C$67)+'Infos FoFö'!$C$68+'Infos FoFö'!$C$69)*(1+$J40/12))</f>
        <v>4959.631118019749</v>
      </c>
      <c r="M40" s="416">
        <f>IF(D40=0,0,(D40*(1+'Infos FoFö'!$C$65+'Infos FoFö'!$C$67)+'Infos FoFö'!$C$68+'Infos FoFö'!$C$69)*(1+$K40/12))</f>
        <v>5092.5050916483342</v>
      </c>
      <c r="N40" s="416">
        <f>IF(E40=0,0,(E40*(1+'Infos FoFö'!$C$65+'Infos FoFö'!$C$67)+'Infos FoFö'!$C$68+'Infos FoFö'!$C$69)*(1+$K40/12))</f>
        <v>5208.9716113229115</v>
      </c>
      <c r="O40" s="416">
        <f>IF(F40=0,0,(F40*(1+'Infos FoFö'!$C$65+'Infos FoFö'!$C$67)+'Infos FoFö'!$C$68+'Infos FoFö'!$C$69)*(1+$K40/12))</f>
        <v>5328.1168609500046</v>
      </c>
      <c r="P40" s="416">
        <f>IF(G40=0,0,(G40*(1+'Infos FoFö'!$C$65+'Infos FoFö'!$C$67)+'Infos FoFö'!$C$68+'Infos FoFö'!$C$69)*(1+$K40/12))</f>
        <v>5450.0024513185217</v>
      </c>
      <c r="Q40" s="416">
        <f>IF(H40=0,0,(H40*(1+'Infos FoFö'!$C$65+'Infos FoFö'!$C$67)+'Infos FoFö'!$C$68+'Infos FoFö'!$C$69)*(1+$K40/12))</f>
        <v>5574.6914102655128</v>
      </c>
      <c r="R40" s="416">
        <f>IF(I40=0,0,(I40*(1+'Infos FoFö'!$C$65+'Infos FoFö'!$C$67)+'Infos FoFö'!$C$68+'Infos FoFö'!$C$69)*(1+$K40/12))</f>
        <v>5702.248215268286</v>
      </c>
      <c r="S40" s="423">
        <f t="shared" si="28"/>
        <v>7.0064247678640057E-2</v>
      </c>
    </row>
    <row r="41" spans="1:19" x14ac:dyDescent="0.35">
      <c r="A41" s="76" t="s">
        <v>78</v>
      </c>
      <c r="B41" s="20">
        <v>6</v>
      </c>
      <c r="C41" s="85">
        <v>5232.76</v>
      </c>
      <c r="D41" s="77">
        <v>5379.28</v>
      </c>
      <c r="E41" s="414">
        <f t="shared" ref="E41:I41" si="39">D41*(1+E$3)</f>
        <v>5503.0034399999995</v>
      </c>
      <c r="F41" s="414">
        <f t="shared" si="39"/>
        <v>5629.572519119999</v>
      </c>
      <c r="G41" s="414">
        <f t="shared" si="39"/>
        <v>5759.0526870597587</v>
      </c>
      <c r="H41" s="414">
        <f t="shared" si="39"/>
        <v>5891.5108988621323</v>
      </c>
      <c r="I41" s="415">
        <f t="shared" si="39"/>
        <v>6027.0156495359606</v>
      </c>
      <c r="J41" s="78">
        <v>0.74350000000000005</v>
      </c>
      <c r="K41" s="78">
        <v>0.72319999999999995</v>
      </c>
      <c r="L41" s="419">
        <f>IF(C41=0,0,(C41*(1+'Infos FoFö'!$C$65+'Infos FoFö'!$C$67)+'Infos FoFö'!$C$68+'Infos FoFö'!$C$69)*(1+$J41/12))</f>
        <v>7213.1932057762506</v>
      </c>
      <c r="M41" s="414">
        <f>IF(D41=0,0,(D41*(1+'Infos FoFö'!$C$65+'Infos FoFö'!$C$67)+'Infos FoFö'!$C$68+'Infos FoFö'!$C$69)*(1+$K41/12))</f>
        <v>7402.5318769920004</v>
      </c>
      <c r="N41" s="414">
        <f>IF(E41=0,0,(E41*(1+'Infos FoFö'!$C$65+'Infos FoFö'!$C$67)+'Infos FoFö'!$C$68+'Infos FoFö'!$C$69)*(1+$K41/12))</f>
        <v>7572.1146142694815</v>
      </c>
      <c r="O41" s="414">
        <f>IF(F41=0,0,(F41*(1+'Infos FoFö'!$C$65+'Infos FoFö'!$C$67)+'Infos FoFö'!$C$68+'Infos FoFö'!$C$69)*(1+$K41/12))</f>
        <v>7745.597754504347</v>
      </c>
      <c r="P41" s="414">
        <f>IF(G41=0,0,(G41*(1+'Infos FoFö'!$C$65+'Infos FoFö'!$C$67)+'Infos FoFö'!$C$68+'Infos FoFö'!$C$69)*(1+$K41/12))</f>
        <v>7923.0710069646129</v>
      </c>
      <c r="Q41" s="414">
        <f>IF(H41=0,0,(H41*(1+'Infos FoFö'!$C$65+'Infos FoFö'!$C$67)+'Infos FoFö'!$C$68+'Infos FoFö'!$C$69)*(1+$K41/12))</f>
        <v>8104.6261442314644</v>
      </c>
      <c r="R41" s="414">
        <f>IF(I41=0,0,(I41*(1+'Infos FoFö'!$C$65+'Infos FoFö'!$C$67)+'Infos FoFö'!$C$68+'Infos FoFö'!$C$69)*(1+$K41/12))</f>
        <v>8290.357049655453</v>
      </c>
      <c r="S41" s="422">
        <f t="shared" si="28"/>
        <v>0</v>
      </c>
    </row>
    <row r="42" spans="1:19" x14ac:dyDescent="0.35">
      <c r="A42" s="76" t="s">
        <v>78</v>
      </c>
      <c r="B42" s="20">
        <v>5</v>
      </c>
      <c r="C42" s="85">
        <v>5080.3500000000004</v>
      </c>
      <c r="D42" s="77">
        <v>5222.6000000000004</v>
      </c>
      <c r="E42" s="414">
        <f t="shared" ref="E42:I42" si="40">D42*(1+E$3)</f>
        <v>5342.7197999999999</v>
      </c>
      <c r="F42" s="414">
        <f t="shared" si="40"/>
        <v>5465.6023553999994</v>
      </c>
      <c r="G42" s="414">
        <f t="shared" si="40"/>
        <v>5591.311209574199</v>
      </c>
      <c r="H42" s="414">
        <f t="shared" si="40"/>
        <v>5719.9113673944048</v>
      </c>
      <c r="I42" s="415">
        <f t="shared" si="40"/>
        <v>5851.469328844476</v>
      </c>
      <c r="J42" s="78">
        <v>0.74350000000000005</v>
      </c>
      <c r="K42" s="78">
        <v>0.72319999999999995</v>
      </c>
      <c r="L42" s="419">
        <f>IF(C42=0,0,(C42*(1+'Infos FoFö'!$C$65+'Infos FoFö'!$C$67)+'Infos FoFö'!$C$68+'Infos FoFö'!$C$69)*(1+$J42/12))</f>
        <v>7003.9576500723961</v>
      </c>
      <c r="M42" s="414">
        <f>IF(D42=0,0,(D42*(1+'Infos FoFö'!$C$65+'Infos FoFö'!$C$67)+'Infos FoFö'!$C$68+'Infos FoFö'!$C$69)*(1+$K42/12))</f>
        <v>7187.7769099733341</v>
      </c>
      <c r="N42" s="414">
        <f>IF(E42=0,0,(E42*(1+'Infos FoFö'!$C$65+'Infos FoFö'!$C$67)+'Infos FoFö'!$C$68+'Infos FoFö'!$C$69)*(1+$K42/12))</f>
        <v>7352.4202830093864</v>
      </c>
      <c r="O42" s="414">
        <f>IF(F42=0,0,(F42*(1+'Infos FoFö'!$C$65+'Infos FoFö'!$C$67)+'Infos FoFö'!$C$68+'Infos FoFö'!$C$69)*(1+$K42/12))</f>
        <v>7520.8504536252685</v>
      </c>
      <c r="P42" s="414">
        <f>IF(G42=0,0,(G42*(1+'Infos FoFö'!$C$65+'Infos FoFö'!$C$67)+'Infos FoFö'!$C$68+'Infos FoFö'!$C$69)*(1+$K42/12))</f>
        <v>7693.1545181653155</v>
      </c>
      <c r="Q42" s="414">
        <f>IF(H42=0,0,(H42*(1+'Infos FoFö'!$C$65+'Infos FoFö'!$C$67)+'Infos FoFö'!$C$68+'Infos FoFö'!$C$69)*(1+$K42/12))</f>
        <v>7869.421576189784</v>
      </c>
      <c r="R42" s="414">
        <f>IF(I42=0,0,(I42*(1+'Infos FoFö'!$C$65+'Infos FoFö'!$C$67)+'Infos FoFö'!$C$68+'Infos FoFö'!$C$69)*(1+$K42/12))</f>
        <v>8049.7427765488155</v>
      </c>
      <c r="S42" s="422">
        <f t="shared" si="28"/>
        <v>2.9873903606726086E-2</v>
      </c>
    </row>
    <row r="43" spans="1:19" x14ac:dyDescent="0.35">
      <c r="A43" s="76" t="s">
        <v>78</v>
      </c>
      <c r="B43" s="20">
        <v>4</v>
      </c>
      <c r="C43" s="85">
        <v>4478.8500000000004</v>
      </c>
      <c r="D43" s="77">
        <v>4604.26</v>
      </c>
      <c r="E43" s="414">
        <f t="shared" ref="E43:I43" si="41">D43*(1+E$3)</f>
        <v>4710.15798</v>
      </c>
      <c r="F43" s="414">
        <f t="shared" si="41"/>
        <v>4818.4916135399999</v>
      </c>
      <c r="G43" s="414">
        <f t="shared" si="41"/>
        <v>4929.3169206514194</v>
      </c>
      <c r="H43" s="414">
        <f t="shared" si="41"/>
        <v>5042.691209826402</v>
      </c>
      <c r="I43" s="415">
        <f t="shared" si="41"/>
        <v>5158.6731076524084</v>
      </c>
      <c r="J43" s="78">
        <v>0.74350000000000005</v>
      </c>
      <c r="K43" s="78">
        <v>0.72319999999999995</v>
      </c>
      <c r="L43" s="419">
        <f>IF(C43=0,0,(C43*(1+'Infos FoFö'!$C$65+'Infos FoFö'!$C$67)+'Infos FoFö'!$C$68+'Infos FoFö'!$C$69)*(1+$J43/12))</f>
        <v>6178.190398869272</v>
      </c>
      <c r="M43" s="414">
        <f>IF(D43=0,0,(D43*(1+'Infos FoFö'!$C$65+'Infos FoFö'!$C$67)+'Infos FoFö'!$C$68+'Infos FoFö'!$C$69)*(1+$K43/12))</f>
        <v>6340.2431704640012</v>
      </c>
      <c r="N43" s="414">
        <f>IF(E43=0,0,(E43*(1+'Infos FoFö'!$C$65+'Infos FoFö'!$C$67)+'Infos FoFö'!$C$68+'Infos FoFö'!$C$69)*(1+$K43/12))</f>
        <v>6485.3932674913394</v>
      </c>
      <c r="O43" s="414">
        <f>IF(F43=0,0,(F43*(1+'Infos FoFö'!$C$65+'Infos FoFö'!$C$67)+'Infos FoFö'!$C$68+'Infos FoFö'!$C$69)*(1+$K43/12))</f>
        <v>6633.8818167503068</v>
      </c>
      <c r="P43" s="414">
        <f>IF(G43=0,0,(G43*(1+'Infos FoFö'!$C$65+'Infos FoFö'!$C$67)+'Infos FoFö'!$C$68+'Infos FoFö'!$C$69)*(1+$K43/12))</f>
        <v>6785.7856026422296</v>
      </c>
      <c r="Q43" s="414">
        <f>IF(H43=0,0,(H43*(1+'Infos FoFö'!$C$65+'Infos FoFö'!$C$67)+'Infos FoFö'!$C$68+'Infos FoFö'!$C$69)*(1+$K43/12))</f>
        <v>6941.1831756096672</v>
      </c>
      <c r="R43" s="414">
        <f>IF(I43=0,0,(I43*(1+'Infos FoFö'!$C$65+'Infos FoFö'!$C$67)+'Infos FoFö'!$C$68+'Infos FoFö'!$C$69)*(1+$K43/12))</f>
        <v>7100.1548927553549</v>
      </c>
      <c r="S43" s="422">
        <f t="shared" si="28"/>
        <v>0.13365843360124599</v>
      </c>
    </row>
    <row r="44" spans="1:19" x14ac:dyDescent="0.35">
      <c r="A44" s="76" t="s">
        <v>78</v>
      </c>
      <c r="B44" s="20">
        <v>3</v>
      </c>
      <c r="C44" s="85">
        <v>4064.48</v>
      </c>
      <c r="D44" s="77">
        <v>4178.29</v>
      </c>
      <c r="E44" s="414">
        <f t="shared" ref="E44:I44" si="42">D44*(1+E$3)</f>
        <v>4274.3906699999998</v>
      </c>
      <c r="F44" s="414">
        <f t="shared" si="42"/>
        <v>4372.7016554099991</v>
      </c>
      <c r="G44" s="414">
        <f t="shared" si="42"/>
        <v>4473.273793484429</v>
      </c>
      <c r="H44" s="414">
        <f t="shared" si="42"/>
        <v>4576.1590907345708</v>
      </c>
      <c r="I44" s="415">
        <f t="shared" si="42"/>
        <v>4681.4107498214653</v>
      </c>
      <c r="J44" s="78">
        <v>0.74350000000000005</v>
      </c>
      <c r="K44" s="78">
        <v>0.72319999999999995</v>
      </c>
      <c r="L44" s="419">
        <f>IF(C44=0,0,(C44*(1+'Infos FoFö'!$C$65+'Infos FoFö'!$C$67)+'Infos FoFö'!$C$68+'Infos FoFö'!$C$69)*(1+$J44/12))</f>
        <v>5609.3239385516672</v>
      </c>
      <c r="M44" s="414">
        <f>IF(D44=0,0,(D44*(1+'Infos FoFö'!$C$65+'Infos FoFö'!$C$67)+'Infos FoFö'!$C$68+'Infos FoFö'!$C$69)*(1+$K44/12))</f>
        <v>5756.3832438560003</v>
      </c>
      <c r="N44" s="414">
        <f>IF(E44=0,0,(E44*(1+'Infos FoFö'!$C$65+'Infos FoFö'!$C$67)+'Infos FoFö'!$C$68+'Infos FoFö'!$C$69)*(1+$K44/12))</f>
        <v>5888.1045625713541</v>
      </c>
      <c r="O44" s="414">
        <f>IF(F44=0,0,(F44*(1+'Infos FoFö'!$C$65+'Infos FoFö'!$C$67)+'Infos FoFö'!$C$68+'Infos FoFö'!$C$69)*(1+$K44/12))</f>
        <v>6022.8554716171611</v>
      </c>
      <c r="P44" s="414">
        <f>IF(G44=0,0,(G44*(1+'Infos FoFö'!$C$65+'Infos FoFö'!$C$67)+'Infos FoFö'!$C$68+'Infos FoFö'!$C$69)*(1+$K44/12))</f>
        <v>6160.7056515710219</v>
      </c>
      <c r="Q44" s="414">
        <f>IF(H44=0,0,(H44*(1+'Infos FoFö'!$C$65+'Infos FoFö'!$C$67)+'Infos FoFö'!$C$68+'Infos FoFö'!$C$69)*(1+$K44/12))</f>
        <v>6301.7263856638228</v>
      </c>
      <c r="R44" s="414">
        <f>IF(I44=0,0,(I44*(1+'Infos FoFö'!$C$65+'Infos FoFö'!$C$67)+'Infos FoFö'!$C$68+'Infos FoFö'!$C$69)*(1+$K44/12))</f>
        <v>6445.9905966407568</v>
      </c>
      <c r="S44" s="422">
        <f t="shared" si="28"/>
        <v>0.10141444255125096</v>
      </c>
    </row>
    <row r="45" spans="1:19" x14ac:dyDescent="0.35">
      <c r="A45" s="76" t="s">
        <v>78</v>
      </c>
      <c r="B45" s="20">
        <v>2</v>
      </c>
      <c r="C45" s="85">
        <v>3792.2</v>
      </c>
      <c r="D45" s="77">
        <v>3898.38</v>
      </c>
      <c r="E45" s="414">
        <f t="shared" ref="E45:I45" si="43">D45*(1+E$3)</f>
        <v>3988.0427399999999</v>
      </c>
      <c r="F45" s="414">
        <f t="shared" si="43"/>
        <v>4079.7677230199997</v>
      </c>
      <c r="G45" s="414">
        <f t="shared" si="43"/>
        <v>4173.6023806494595</v>
      </c>
      <c r="H45" s="414">
        <f t="shared" si="43"/>
        <v>4269.5952354043966</v>
      </c>
      <c r="I45" s="415">
        <f t="shared" si="43"/>
        <v>4367.7959258186975</v>
      </c>
      <c r="J45" s="78">
        <v>0.74350000000000005</v>
      </c>
      <c r="K45" s="78">
        <v>0.72319999999999995</v>
      </c>
      <c r="L45" s="419">
        <f>IF(C45=0,0,(C45*(1+'Infos FoFö'!$C$65+'Infos FoFö'!$C$67)+'Infos FoFö'!$C$68+'Infos FoFö'!$C$69)*(1+$J45/12))</f>
        <v>5235.5252566604158</v>
      </c>
      <c r="M45" s="414">
        <f>IF(D45=0,0,(D45*(1+'Infos FoFö'!$C$65+'Infos FoFö'!$C$67)+'Infos FoFö'!$C$68+'Infos FoFö'!$C$69)*(1+$K45/12))</f>
        <v>5372.7218778986671</v>
      </c>
      <c r="N45" s="414">
        <f>IF(E45=0,0,(E45*(1+'Infos FoFö'!$C$65+'Infos FoFö'!$C$67)+'Infos FoFö'!$C$68+'Infos FoFö'!$C$69)*(1+$K45/12))</f>
        <v>5495.618985197003</v>
      </c>
      <c r="O45" s="414">
        <f>IF(F45=0,0,(F45*(1+'Infos FoFö'!$C$65+'Infos FoFö'!$C$67)+'Infos FoFö'!$C$68+'Infos FoFö'!$C$69)*(1+$K45/12))</f>
        <v>5621.3427259631999</v>
      </c>
      <c r="P45" s="414">
        <f>IF(G45=0,0,(G45*(1+'Infos FoFö'!$C$65+'Infos FoFö'!$C$67)+'Infos FoFö'!$C$68+'Infos FoFö'!$C$69)*(1+$K45/12))</f>
        <v>5749.9581127670199</v>
      </c>
      <c r="Q45" s="414">
        <f>IF(H45=0,0,(H45*(1+'Infos FoFö'!$C$65+'Infos FoFö'!$C$67)+'Infos FoFö'!$C$68+'Infos FoFö'!$C$69)*(1+$K45/12))</f>
        <v>5881.5316534673275</v>
      </c>
      <c r="R45" s="414">
        <f>IF(I45=0,0,(I45*(1+'Infos FoFö'!$C$65+'Infos FoFö'!$C$67)+'Infos FoFö'!$C$68+'Infos FoFö'!$C$69)*(1+$K45/12))</f>
        <v>6016.1313856037432</v>
      </c>
      <c r="S45" s="422">
        <f t="shared" si="28"/>
        <v>7.1396596056092054E-2</v>
      </c>
    </row>
    <row r="46" spans="1:19" ht="15" thickBot="1" x14ac:dyDescent="0.4">
      <c r="A46" s="76" t="s">
        <v>78</v>
      </c>
      <c r="B46" s="20">
        <v>1</v>
      </c>
      <c r="C46" s="85">
        <v>3553.15</v>
      </c>
      <c r="D46" s="77">
        <v>3652.64</v>
      </c>
      <c r="E46" s="414">
        <f t="shared" ref="E46:I46" si="44">D46*(1+E$3)</f>
        <v>3736.6507199999996</v>
      </c>
      <c r="F46" s="414">
        <f t="shared" si="44"/>
        <v>3822.5936865599992</v>
      </c>
      <c r="G46" s="414">
        <f t="shared" si="44"/>
        <v>3910.5133413508788</v>
      </c>
      <c r="H46" s="414">
        <f t="shared" si="44"/>
        <v>4000.4551482019488</v>
      </c>
      <c r="I46" s="415">
        <f t="shared" si="44"/>
        <v>4092.4656166105933</v>
      </c>
      <c r="J46" s="78">
        <v>0.74350000000000005</v>
      </c>
      <c r="K46" s="78">
        <v>0.72319999999999995</v>
      </c>
      <c r="L46" s="419">
        <f>IF(C46=0,0,(C46*(1+'Infos FoFö'!$C$65+'Infos FoFö'!$C$67)+'Infos FoFö'!$C$68+'Infos FoFö'!$C$69)*(1+$J46/12))</f>
        <v>4907.3462684640626</v>
      </c>
      <c r="M46" s="414">
        <f>IF(D46=0,0,(D46*(1+'Infos FoFö'!$C$65+'Infos FoFö'!$C$67)+'Infos FoFö'!$C$68+'Infos FoFö'!$C$69)*(1+$K46/12))</f>
        <v>5035.895955029333</v>
      </c>
      <c r="N46" s="414">
        <f>IF(E46=0,0,(E46*(1+'Infos FoFö'!$C$65+'Infos FoFö'!$C$67)+'Infos FoFö'!$C$68+'Infos FoFö'!$C$69)*(1+$K46/12))</f>
        <v>5151.046066101675</v>
      </c>
      <c r="O46" s="414">
        <f>IF(F46=0,0,(F46*(1+'Infos FoFö'!$C$65+'Infos FoFö'!$C$67)+'Infos FoFö'!$C$68+'Infos FoFö'!$C$69)*(1+$K46/12))</f>
        <v>5268.8446297286791</v>
      </c>
      <c r="P46" s="414">
        <f>IF(G46=0,0,(G46*(1+'Infos FoFö'!$C$65+'Infos FoFö'!$C$67)+'Infos FoFö'!$C$68+'Infos FoFö'!$C$69)*(1+$K46/12))</f>
        <v>5389.3525603191047</v>
      </c>
      <c r="Q46" s="414">
        <f>IF(H46=0,0,(H46*(1+'Infos FoFö'!$C$65+'Infos FoFö'!$C$67)+'Infos FoFö'!$C$68+'Infos FoFö'!$C$69)*(1+$K46/12))</f>
        <v>5512.6321733131108</v>
      </c>
      <c r="R46" s="414">
        <f>IF(I46=0,0,(I46*(1+'Infos FoFö'!$C$65+'Infos FoFö'!$C$67)+'Infos FoFö'!$C$68+'Infos FoFö'!$C$69)*(1+$K46/12))</f>
        <v>5638.7472174059785</v>
      </c>
      <c r="S46" s="422">
        <f t="shared" si="28"/>
        <v>6.6875042078306218E-2</v>
      </c>
    </row>
    <row r="47" spans="1:19" x14ac:dyDescent="0.35">
      <c r="A47" s="87" t="s">
        <v>79</v>
      </c>
      <c r="B47" s="88">
        <v>6</v>
      </c>
      <c r="C47" s="89">
        <v>4867.9399999999996</v>
      </c>
      <c r="D47" s="90">
        <v>5004.24</v>
      </c>
      <c r="E47" s="412">
        <f t="shared" ref="E47:I47" si="45">D47*(1+E$3)</f>
        <v>5119.3375199999991</v>
      </c>
      <c r="F47" s="412">
        <f t="shared" si="45"/>
        <v>5237.0822829599983</v>
      </c>
      <c r="G47" s="412">
        <f t="shared" si="45"/>
        <v>5357.5351754680778</v>
      </c>
      <c r="H47" s="412">
        <f t="shared" si="45"/>
        <v>5480.7584845038427</v>
      </c>
      <c r="I47" s="413">
        <f t="shared" si="45"/>
        <v>5606.8159296474305</v>
      </c>
      <c r="J47" s="91">
        <v>0.74350000000000005</v>
      </c>
      <c r="K47" s="91">
        <v>0.72319999999999995</v>
      </c>
      <c r="L47" s="418">
        <f>IF(C47=0,0,(C47*(1+'Infos FoFö'!$C$65+'Infos FoFö'!$C$67)+'Infos FoFö'!$C$68+'Infos FoFö'!$C$69)*(1+$J47/12))</f>
        <v>6712.3512962435407</v>
      </c>
      <c r="M47" s="412">
        <f>IF(D47=0,0,(D47*(1+'Infos FoFö'!$C$65+'Infos FoFö'!$C$67)+'Infos FoFö'!$C$68+'Infos FoFö'!$C$69)*(1+$K47/12))</f>
        <v>6888.4796506026669</v>
      </c>
      <c r="N47" s="412">
        <f>IF(E47=0,0,(E47*(1+'Infos FoFö'!$C$65+'Infos FoFö'!$C$67)+'Infos FoFö'!$C$68+'Infos FoFö'!$C$69)*(1+$K47/12))</f>
        <v>7046.2391866731932</v>
      </c>
      <c r="O47" s="412">
        <f>IF(F47=0,0,(F47*(1+'Infos FoFö'!$C$65+'Infos FoFö'!$C$67)+'Infos FoFö'!$C$68+'Infos FoFö'!$C$69)*(1+$K47/12))</f>
        <v>7207.6271920733434</v>
      </c>
      <c r="P47" s="412">
        <f>IF(G47=0,0,(G47*(1+'Infos FoFö'!$C$65+'Infos FoFö'!$C$67)+'Infos FoFö'!$C$68+'Infos FoFö'!$C$69)*(1+$K47/12))</f>
        <v>7372.7271215976953</v>
      </c>
      <c r="Q47" s="412">
        <f>IF(H47=0,0,(H47*(1+'Infos FoFö'!$C$65+'Infos FoFö'!$C$67)+'Infos FoFö'!$C$68+'Infos FoFö'!$C$69)*(1+$K47/12))</f>
        <v>7541.6243495011086</v>
      </c>
      <c r="R47" s="412">
        <f>IF(I47=0,0,(I47*(1+'Infos FoFö'!$C$65+'Infos FoFö'!$C$67)+'Infos FoFö'!$C$68+'Infos FoFö'!$C$69)*(1+$K47/12))</f>
        <v>7714.406213646299</v>
      </c>
      <c r="S47" s="421">
        <f t="shared" si="28"/>
        <v>0</v>
      </c>
    </row>
    <row r="48" spans="1:19" x14ac:dyDescent="0.35">
      <c r="A48" s="76" t="s">
        <v>79</v>
      </c>
      <c r="B48" s="20">
        <v>5</v>
      </c>
      <c r="C48" s="85">
        <v>4726.1499999999996</v>
      </c>
      <c r="D48" s="77">
        <v>4858.4799999999996</v>
      </c>
      <c r="E48" s="414">
        <f t="shared" ref="E48:I48" si="46">D48*(1+E$3)</f>
        <v>4970.2250399999994</v>
      </c>
      <c r="F48" s="414">
        <f t="shared" si="46"/>
        <v>5084.5402159199984</v>
      </c>
      <c r="G48" s="414">
        <f t="shared" si="46"/>
        <v>5201.4846408861576</v>
      </c>
      <c r="H48" s="414">
        <f t="shared" si="46"/>
        <v>5321.1187876265385</v>
      </c>
      <c r="I48" s="415">
        <f t="shared" si="46"/>
        <v>5443.5045197419486</v>
      </c>
      <c r="J48" s="78">
        <v>0.74350000000000005</v>
      </c>
      <c r="K48" s="78">
        <v>0.72319999999999995</v>
      </c>
      <c r="L48" s="419">
        <f>IF(C48=0,0,(C48*(1+'Infos FoFö'!$C$65+'Infos FoFö'!$C$67)+'Infos FoFö'!$C$68+'Infos FoFö'!$C$69)*(1+$J48/12))</f>
        <v>6517.6953718078121</v>
      </c>
      <c r="M48" s="414">
        <f>IF(D48=0,0,(D48*(1+'Infos FoFö'!$C$65+'Infos FoFö'!$C$67)+'Infos FoFö'!$C$68+'Infos FoFö'!$C$69)*(1+$K48/12))</f>
        <v>6688.6922878719997</v>
      </c>
      <c r="N48" s="414">
        <f>IF(E48=0,0,(E48*(1+'Infos FoFö'!$C$65+'Infos FoFö'!$C$67)+'Infos FoFö'!$C$68+'Infos FoFö'!$C$69)*(1+$K48/12))</f>
        <v>6841.8567145997222</v>
      </c>
      <c r="O48" s="414">
        <f>IF(F48=0,0,(F48*(1+'Infos FoFö'!$C$65+'Infos FoFö'!$C$67)+'Infos FoFö'!$C$68+'Infos FoFö'!$C$69)*(1+$K48/12))</f>
        <v>6998.5439231421806</v>
      </c>
      <c r="P48" s="414">
        <f>IF(G48=0,0,(G48*(1+'Infos FoFö'!$C$65+'Infos FoFö'!$C$67)+'Infos FoFö'!$C$68+'Infos FoFö'!$C$69)*(1+$K48/12))</f>
        <v>7158.8349374811169</v>
      </c>
      <c r="Q48" s="414">
        <f>IF(H48=0,0,(H48*(1+'Infos FoFö'!$C$65+'Infos FoFö'!$C$67)+'Infos FoFö'!$C$68+'Infos FoFö'!$C$69)*(1+$K48/12))</f>
        <v>7322.8126451498483</v>
      </c>
      <c r="R48" s="414">
        <f>IF(I48=0,0,(I48*(1+'Infos FoFö'!$C$65+'Infos FoFö'!$C$67)+'Infos FoFö'!$C$68+'Infos FoFö'!$C$69)*(1+$K48/12))</f>
        <v>7490.5618400949606</v>
      </c>
      <c r="S48" s="422">
        <f t="shared" si="28"/>
        <v>2.9865759801801985E-2</v>
      </c>
    </row>
    <row r="49" spans="1:19" x14ac:dyDescent="0.35">
      <c r="A49" s="76" t="s">
        <v>79</v>
      </c>
      <c r="B49" s="20">
        <v>4</v>
      </c>
      <c r="C49" s="85">
        <v>4204.82</v>
      </c>
      <c r="D49" s="77">
        <v>4322.55</v>
      </c>
      <c r="E49" s="414">
        <f t="shared" ref="E49:I49" si="47">D49*(1+E$3)</f>
        <v>4421.9686499999998</v>
      </c>
      <c r="F49" s="414">
        <f t="shared" si="47"/>
        <v>4523.6739289499992</v>
      </c>
      <c r="G49" s="414">
        <f t="shared" si="47"/>
        <v>4627.7184293158489</v>
      </c>
      <c r="H49" s="414">
        <f t="shared" si="47"/>
        <v>4734.155953190113</v>
      </c>
      <c r="I49" s="415">
        <f t="shared" si="47"/>
        <v>4843.0415401134851</v>
      </c>
      <c r="J49" s="78">
        <v>0.74350000000000005</v>
      </c>
      <c r="K49" s="78">
        <v>0.72319999999999995</v>
      </c>
      <c r="L49" s="419">
        <f>IF(C49=0,0,(C49*(1+'Infos FoFö'!$C$65+'Infos FoFö'!$C$67)+'Infos FoFö'!$C$68+'Infos FoFö'!$C$69)*(1+$J49/12))</f>
        <v>5801.9892353660407</v>
      </c>
      <c r="M49" s="414">
        <f>IF(D49=0,0,(D49*(1+'Infos FoFö'!$C$65+'Infos FoFö'!$C$67)+'Infos FoFö'!$C$68+'Infos FoFö'!$C$69)*(1+$K49/12))</f>
        <v>5954.114616986667</v>
      </c>
      <c r="N49" s="414">
        <f>IF(E49=0,0,(E49*(1+'Infos FoFö'!$C$65+'Infos FoFö'!$C$67)+'Infos FoFö'!$C$68+'Infos FoFö'!$C$69)*(1+$K49/12))</f>
        <v>6090.3837572840266</v>
      </c>
      <c r="O49" s="414">
        <f>IF(F49=0,0,(F49*(1+'Infos FoFö'!$C$65+'Infos FoFö'!$C$67)+'Infos FoFö'!$C$68+'Infos FoFö'!$C$69)*(1+$K49/12))</f>
        <v>6229.7870878082249</v>
      </c>
      <c r="P49" s="414">
        <f>IF(G49=0,0,(G49*(1+'Infos FoFö'!$C$65+'Infos FoFö'!$C$67)+'Infos FoFö'!$C$68+'Infos FoFö'!$C$69)*(1+$K49/12))</f>
        <v>6372.3966949344804</v>
      </c>
      <c r="Q49" s="414">
        <f>IF(H49=0,0,(H49*(1+'Infos FoFö'!$C$65+'Infos FoFö'!$C$67)+'Infos FoFö'!$C$68+'Infos FoFö'!$C$69)*(1+$K49/12))</f>
        <v>6518.2863230246394</v>
      </c>
      <c r="R49" s="414">
        <f>IF(I49=0,0,(I49*(1+'Infos FoFö'!$C$65+'Infos FoFö'!$C$67)+'Infos FoFö'!$C$68+'Infos FoFö'!$C$69)*(1+$K49/12))</f>
        <v>6667.5314125608729</v>
      </c>
      <c r="S49" s="422">
        <f t="shared" si="28"/>
        <v>0.12335530236408968</v>
      </c>
    </row>
    <row r="50" spans="1:19" x14ac:dyDescent="0.35">
      <c r="A50" s="76" t="s">
        <v>79</v>
      </c>
      <c r="B50" s="20">
        <v>3</v>
      </c>
      <c r="C50" s="85">
        <v>3930.82</v>
      </c>
      <c r="D50" s="77">
        <v>4040.88</v>
      </c>
      <c r="E50" s="414">
        <f t="shared" ref="E50:I50" si="48">D50*(1+E$3)</f>
        <v>4133.82024</v>
      </c>
      <c r="F50" s="414">
        <f t="shared" si="48"/>
        <v>4228.8981055199993</v>
      </c>
      <c r="G50" s="414">
        <f t="shared" si="48"/>
        <v>4326.1627619469591</v>
      </c>
      <c r="H50" s="414">
        <f t="shared" si="48"/>
        <v>4425.6645054717392</v>
      </c>
      <c r="I50" s="415">
        <f t="shared" si="48"/>
        <v>4527.4547890975891</v>
      </c>
      <c r="J50" s="78">
        <v>0.74350000000000005</v>
      </c>
      <c r="K50" s="78">
        <v>0.72319999999999995</v>
      </c>
      <c r="L50" s="419">
        <f>IF(C50=0,0,(C50*(1+'Infos FoFö'!$C$65+'Infos FoFö'!$C$67)+'Infos FoFö'!$C$68+'Infos FoFö'!$C$69)*(1+$J50/12))</f>
        <v>5425.8292572618757</v>
      </c>
      <c r="M50" s="414">
        <f>IF(D50=0,0,(D50*(1+'Infos FoFö'!$C$65+'Infos FoFö'!$C$67)+'Infos FoFö'!$C$68+'Infos FoFö'!$C$69)*(1+$K50/12))</f>
        <v>5568.040889898667</v>
      </c>
      <c r="N50" s="414">
        <f>IF(E50=0,0,(E50*(1+'Infos FoFö'!$C$65+'Infos FoFö'!$C$67)+'Infos FoFö'!$C$68+'Infos FoFö'!$C$69)*(1+$K50/12))</f>
        <v>5695.4303344730024</v>
      </c>
      <c r="O50" s="414">
        <f>IF(F50=0,0,(F50*(1+'Infos FoFö'!$C$65+'Infos FoFö'!$C$67)+'Infos FoFö'!$C$68+'Infos FoFö'!$C$69)*(1+$K50/12))</f>
        <v>5825.749736272548</v>
      </c>
      <c r="P50" s="414">
        <f>IF(G50=0,0,(G50*(1+'Infos FoFö'!$C$65+'Infos FoFö'!$C$67)+'Infos FoFö'!$C$68+'Infos FoFö'!$C$69)*(1+$K50/12))</f>
        <v>5959.0664843134828</v>
      </c>
      <c r="Q50" s="414">
        <f>IF(H50=0,0,(H50*(1+'Infos FoFö'!$C$65+'Infos FoFö'!$C$67)+'Infos FoFö'!$C$68+'Infos FoFö'!$C$69)*(1+$K50/12))</f>
        <v>6095.4495175593593</v>
      </c>
      <c r="R50" s="414">
        <f>IF(I50=0,0,(I50*(1+'Infos FoFö'!$C$65+'Infos FoFö'!$C$67)+'Infos FoFö'!$C$68+'Infos FoFö'!$C$69)*(1+$K50/12))</f>
        <v>6234.9693605698913</v>
      </c>
      <c r="S50" s="422">
        <f t="shared" si="28"/>
        <v>6.9327647492909261E-2</v>
      </c>
    </row>
    <row r="51" spans="1:19" x14ac:dyDescent="0.35">
      <c r="A51" s="76" t="s">
        <v>79</v>
      </c>
      <c r="B51" s="20">
        <v>2</v>
      </c>
      <c r="C51" s="85">
        <v>3662.23</v>
      </c>
      <c r="D51" s="77">
        <v>3764.77</v>
      </c>
      <c r="E51" s="414">
        <f t="shared" ref="E51:I51" si="49">D51*(1+E$3)</f>
        <v>3851.3597099999997</v>
      </c>
      <c r="F51" s="414">
        <f t="shared" si="49"/>
        <v>3939.9409833299992</v>
      </c>
      <c r="G51" s="414">
        <f t="shared" si="49"/>
        <v>4030.5596259465888</v>
      </c>
      <c r="H51" s="414">
        <f t="shared" si="49"/>
        <v>4123.2624973433603</v>
      </c>
      <c r="I51" s="415">
        <f t="shared" si="49"/>
        <v>4218.0975347822568</v>
      </c>
      <c r="J51" s="78">
        <v>0.74350000000000005</v>
      </c>
      <c r="K51" s="78">
        <v>0.72319999999999995</v>
      </c>
      <c r="L51" s="419">
        <f>IF(C51=0,0,(C51*(1+'Infos FoFö'!$C$65+'Infos FoFö'!$C$67)+'Infos FoFö'!$C$68+'Infos FoFö'!$C$69)*(1+$J51/12))</f>
        <v>5057.0963794553127</v>
      </c>
      <c r="M51" s="414">
        <f>IF(D51=0,0,(D51*(1+'Infos FoFö'!$C$65+'Infos FoFö'!$C$67)+'Infos FoFö'!$C$68+'Infos FoFö'!$C$69)*(1+$K51/12))</f>
        <v>5189.5880309280001</v>
      </c>
      <c r="N51" s="414">
        <f>IF(E51=0,0,(E51*(1+'Infos FoFö'!$C$65+'Infos FoFö'!$C$67)+'Infos FoFö'!$C$68+'Infos FoFö'!$C$69)*(1+$K51/12))</f>
        <v>5308.2730597460104</v>
      </c>
      <c r="O51" s="414">
        <f>IF(F51=0,0,(F51*(1+'Infos FoFö'!$C$65+'Infos FoFö'!$C$67)+'Infos FoFö'!$C$68+'Infos FoFö'!$C$69)*(1+$K51/12))</f>
        <v>5429.6878442268353</v>
      </c>
      <c r="P51" s="414">
        <f>IF(G51=0,0,(G51*(1+'Infos FoFö'!$C$65+'Infos FoFö'!$C$67)+'Infos FoFö'!$C$68+'Infos FoFö'!$C$69)*(1+$K51/12))</f>
        <v>5553.8951687507179</v>
      </c>
      <c r="Q51" s="414">
        <f>IF(H51=0,0,(H51*(1+'Infos FoFö'!$C$65+'Infos FoFö'!$C$67)+'Infos FoFö'!$C$68+'Infos FoFö'!$C$69)*(1+$K51/12))</f>
        <v>5680.9592617386515</v>
      </c>
      <c r="R51" s="414">
        <f>IF(I51=0,0,(I51*(1+'Infos FoFö'!$C$65+'Infos FoFö'!$C$67)+'Infos FoFö'!$C$68+'Infos FoFö'!$C$69)*(1+$K51/12))</f>
        <v>5810.9458288653059</v>
      </c>
      <c r="S51" s="422">
        <f t="shared" si="28"/>
        <v>7.2913951038101096E-2</v>
      </c>
    </row>
    <row r="52" spans="1:19" ht="15" thickBot="1" x14ac:dyDescent="0.4">
      <c r="A52" s="79" t="s">
        <v>79</v>
      </c>
      <c r="B52" s="80">
        <v>1</v>
      </c>
      <c r="C52" s="86">
        <v>3427.65</v>
      </c>
      <c r="D52" s="81">
        <v>3523.62</v>
      </c>
      <c r="E52" s="416">
        <f t="shared" ref="E52:I52" si="50">D52*(1+E$3)</f>
        <v>3604.6632599999994</v>
      </c>
      <c r="F52" s="416">
        <f t="shared" si="50"/>
        <v>3687.5705149799992</v>
      </c>
      <c r="G52" s="416">
        <f t="shared" si="50"/>
        <v>3772.384636824539</v>
      </c>
      <c r="H52" s="416">
        <f t="shared" si="50"/>
        <v>3859.1494834715031</v>
      </c>
      <c r="I52" s="417">
        <f t="shared" si="50"/>
        <v>3947.9099215913475</v>
      </c>
      <c r="J52" s="82">
        <v>0.74350000000000005</v>
      </c>
      <c r="K52" s="82">
        <v>0.72319999999999995</v>
      </c>
      <c r="L52" s="420">
        <f>IF(C52=0,0,(C52*(1+'Infos FoFö'!$C$65+'Infos FoFö'!$C$67)+'Infos FoFö'!$C$68+'Infos FoFö'!$C$69)*(1+$J52/12))</f>
        <v>4735.0540157192709</v>
      </c>
      <c r="M52" s="416">
        <f>IF(D52=0,0,(D52*(1+'Infos FoFö'!$C$65+'Infos FoFö'!$C$67)+'Infos FoFö'!$C$68+'Infos FoFö'!$C$69)*(1+$K52/12))</f>
        <v>4859.0534362346662</v>
      </c>
      <c r="N52" s="416">
        <f>IF(E52=0,0,(E52*(1+'Infos FoFö'!$C$65+'Infos FoFö'!$C$67)+'Infos FoFö'!$C$68+'Infos FoFö'!$C$69)*(1+$K52/12))</f>
        <v>4970.1361693747303</v>
      </c>
      <c r="O52" s="416">
        <f>IF(F52=0,0,(F52*(1+'Infos FoFö'!$C$65+'Infos FoFö'!$C$67)+'Infos FoFö'!$C$68+'Infos FoFö'!$C$69)*(1+$K52/12))</f>
        <v>5083.7738053770154</v>
      </c>
      <c r="P52" s="416">
        <f>IF(G52=0,0,(G52*(1+'Infos FoFö'!$C$65+'Infos FoFö'!$C$67)+'Infos FoFö'!$C$68+'Infos FoFö'!$C$69)*(1+$K52/12))</f>
        <v>5200.0251070073527</v>
      </c>
      <c r="Q52" s="416">
        <f>IF(H52=0,0,(H52*(1+'Infos FoFö'!$C$65+'Infos FoFö'!$C$67)+'Infos FoFö'!$C$68+'Infos FoFö'!$C$69)*(1+$K52/12))</f>
        <v>5318.9501885751888</v>
      </c>
      <c r="R52" s="416">
        <f>IF(I52=0,0,(I52*(1+'Infos FoFö'!$C$65+'Infos FoFö'!$C$67)+'Infos FoFö'!$C$68+'Infos FoFö'!$C$69)*(1+$K52/12))</f>
        <v>5440.6105470190842</v>
      </c>
      <c r="S52" s="423">
        <f t="shared" si="28"/>
        <v>6.8012394930857506E-2</v>
      </c>
    </row>
    <row r="53" spans="1:19" x14ac:dyDescent="0.35">
      <c r="A53" s="76" t="s">
        <v>80</v>
      </c>
      <c r="B53" s="20">
        <v>6</v>
      </c>
      <c r="C53" s="85">
        <v>4303.46</v>
      </c>
      <c r="D53" s="77">
        <v>4423.96</v>
      </c>
      <c r="E53" s="414">
        <f t="shared" ref="E53:I53" si="51">D53*(1+E$3)</f>
        <v>4525.71108</v>
      </c>
      <c r="F53" s="414">
        <f t="shared" si="51"/>
        <v>4629.8024348399995</v>
      </c>
      <c r="G53" s="414">
        <f t="shared" si="51"/>
        <v>4736.2878908413195</v>
      </c>
      <c r="H53" s="414">
        <f t="shared" si="51"/>
        <v>4845.2225123306698</v>
      </c>
      <c r="I53" s="415">
        <f t="shared" si="51"/>
        <v>4956.6626301142751</v>
      </c>
      <c r="J53" s="78">
        <v>0.74350000000000005</v>
      </c>
      <c r="K53" s="78">
        <v>0.72319999999999995</v>
      </c>
      <c r="L53" s="419">
        <f>IF(C53=0,0,(C53*(1+'Infos FoFö'!$C$65+'Infos FoFö'!$C$67)+'Infos FoFö'!$C$68+'Infos FoFö'!$C$69)*(1+$J53/12))</f>
        <v>5937.4068274835417</v>
      </c>
      <c r="M53" s="414">
        <f>IF(D53=0,0,(D53*(1+'Infos FoFö'!$C$65+'Infos FoFö'!$C$67)+'Infos FoFö'!$C$68+'Infos FoFö'!$C$69)*(1+$K53/12))</f>
        <v>6093.1132205440008</v>
      </c>
      <c r="N53" s="414">
        <f>IF(E53=0,0,(E53*(1+'Infos FoFö'!$C$65+'Infos FoFö'!$C$67)+'Infos FoFö'!$C$68+'Infos FoFö'!$C$69)*(1+$K53/12))</f>
        <v>6232.5793287231791</v>
      </c>
      <c r="O53" s="414">
        <f>IF(F53=0,0,(F53*(1+'Infos FoFö'!$C$65+'Infos FoFö'!$C$67)+'Infos FoFö'!$C$68+'Infos FoFö'!$C$69)*(1+$K53/12))</f>
        <v>6375.253157390478</v>
      </c>
      <c r="P53" s="414">
        <f>IF(G53=0,0,(G53*(1+'Infos FoFö'!$C$65+'Infos FoFö'!$C$67)+'Infos FoFö'!$C$68+'Infos FoFö'!$C$69)*(1+$K53/12))</f>
        <v>6521.2084841171254</v>
      </c>
      <c r="Q53" s="414">
        <f>IF(H53=0,0,(H53*(1+'Infos FoFö'!$C$65+'Infos FoFö'!$C$67)+'Infos FoFö'!$C$68+'Infos FoFö'!$C$69)*(1+$K53/12))</f>
        <v>6670.5207833584864</v>
      </c>
      <c r="R53" s="414">
        <f>IF(I53=0,0,(I53*(1+'Infos FoFö'!$C$65+'Infos FoFö'!$C$67)+'Infos FoFö'!$C$68+'Infos FoFö'!$C$69)*(1+$K53/12))</f>
        <v>6823.2672654823982</v>
      </c>
      <c r="S53" s="422">
        <f t="shared" si="28"/>
        <v>0</v>
      </c>
    </row>
    <row r="54" spans="1:19" x14ac:dyDescent="0.35">
      <c r="A54" s="76" t="s">
        <v>80</v>
      </c>
      <c r="B54" s="20">
        <v>5</v>
      </c>
      <c r="C54" s="85">
        <v>4178.1000000000004</v>
      </c>
      <c r="D54" s="77">
        <v>4295.09</v>
      </c>
      <c r="E54" s="414">
        <f t="shared" ref="E54:I54" si="52">D54*(1+E$3)</f>
        <v>4393.8770699999995</v>
      </c>
      <c r="F54" s="414">
        <f t="shared" si="52"/>
        <v>4494.9362426099988</v>
      </c>
      <c r="G54" s="414">
        <f t="shared" si="52"/>
        <v>4598.3197761900283</v>
      </c>
      <c r="H54" s="414">
        <f t="shared" si="52"/>
        <v>4704.0811310423987</v>
      </c>
      <c r="I54" s="415">
        <f t="shared" si="52"/>
        <v>4812.2749970563736</v>
      </c>
      <c r="J54" s="78">
        <v>0.74350000000000005</v>
      </c>
      <c r="K54" s="78">
        <v>0.72319999999999995</v>
      </c>
      <c r="L54" s="419">
        <f>IF(C54=0,0,(C54*(1+'Infos FoFö'!$C$65+'Infos FoFö'!$C$67)+'Infos FoFö'!$C$68+'Infos FoFö'!$C$69)*(1+$J54/12))</f>
        <v>5765.3067732677091</v>
      </c>
      <c r="M54" s="414">
        <f>IF(D54=0,0,(D54*(1+'Infos FoFö'!$C$65+'Infos FoFö'!$C$67)+'Infos FoFö'!$C$68+'Infos FoFö'!$C$69)*(1+$K54/12))</f>
        <v>5916.4763007093334</v>
      </c>
      <c r="N54" s="414">
        <f>IF(E54=0,0,(E54*(1+'Infos FoFö'!$C$65+'Infos FoFö'!$C$67)+'Infos FoFö'!$C$68+'Infos FoFö'!$C$69)*(1+$K54/12))</f>
        <v>6051.8797597323137</v>
      </c>
      <c r="O54" s="414">
        <f>IF(F54=0,0,(F54*(1+'Infos FoFö'!$C$65+'Infos FoFö'!$C$67)+'Infos FoFö'!$C$68+'Infos FoFö'!$C$69)*(1+$K54/12))</f>
        <v>6190.3974983128237</v>
      </c>
      <c r="P54" s="414">
        <f>IF(G54=0,0,(G54*(1+'Infos FoFö'!$C$65+'Infos FoFö'!$C$67)+'Infos FoFö'!$C$68+'Infos FoFö'!$C$69)*(1+$K54/12))</f>
        <v>6332.1011448806839</v>
      </c>
      <c r="Q54" s="414">
        <f>IF(H54=0,0,(H54*(1+'Infos FoFö'!$C$65+'Infos FoFö'!$C$67)+'Infos FoFö'!$C$68+'Infos FoFö'!$C$69)*(1+$K54/12))</f>
        <v>6477.0639753196065</v>
      </c>
      <c r="R54" s="414">
        <f>IF(I54=0,0,(I54*(1+'Infos FoFö'!$C$65+'Infos FoFö'!$C$67)+'Infos FoFö'!$C$68+'Infos FoFö'!$C$69)*(1+$K54/12))</f>
        <v>6625.3609508586233</v>
      </c>
      <c r="S54" s="422">
        <f t="shared" si="28"/>
        <v>2.9850979485396632E-2</v>
      </c>
    </row>
    <row r="55" spans="1:19" x14ac:dyDescent="0.35">
      <c r="A55" s="76" t="s">
        <v>80</v>
      </c>
      <c r="B55" s="20">
        <v>4</v>
      </c>
      <c r="C55" s="85">
        <v>3831.78</v>
      </c>
      <c r="D55" s="77">
        <v>3939.07</v>
      </c>
      <c r="E55" s="414">
        <f t="shared" ref="E55:I55" si="53">D55*(1+E$3)</f>
        <v>4029.6686099999997</v>
      </c>
      <c r="F55" s="414">
        <f t="shared" si="53"/>
        <v>4122.3509880299989</v>
      </c>
      <c r="G55" s="414">
        <f t="shared" si="53"/>
        <v>4217.165060754689</v>
      </c>
      <c r="H55" s="414">
        <f t="shared" si="53"/>
        <v>4314.1598571520462</v>
      </c>
      <c r="I55" s="415">
        <f t="shared" si="53"/>
        <v>4413.3855338665426</v>
      </c>
      <c r="J55" s="78">
        <v>0.74350000000000005</v>
      </c>
      <c r="K55" s="78">
        <v>0.72319999999999995</v>
      </c>
      <c r="L55" s="419">
        <f>IF(C55=0,0,(C55*(1+'Infos FoFö'!$C$65+'Infos FoFö'!$C$67)+'Infos FoFö'!$C$68+'Infos FoFö'!$C$69)*(1+$J55/12))</f>
        <v>5289.8625264902093</v>
      </c>
      <c r="M55" s="414">
        <f>IF(D55=0,0,(D55*(1+'Infos FoFö'!$C$65+'Infos FoFö'!$C$67)+'Infos FoFö'!$C$68+'Infos FoFö'!$C$69)*(1+$K55/12))</f>
        <v>5428.4940224480006</v>
      </c>
      <c r="N55" s="414">
        <f>IF(E55=0,0,(E55*(1+'Infos FoFö'!$C$65+'Infos FoFö'!$C$67)+'Infos FoFö'!$C$68+'Infos FoFö'!$C$69)*(1+$K55/12))</f>
        <v>5552.6738890709703</v>
      </c>
      <c r="O55" s="414">
        <f>IF(F55=0,0,(F55*(1+'Infos FoFö'!$C$65+'Infos FoFö'!$C$67)+'Infos FoFö'!$C$68+'Infos FoFö'!$C$69)*(1+$K55/12))</f>
        <v>5679.7098926262688</v>
      </c>
      <c r="P55" s="414">
        <f>IF(G55=0,0,(G55*(1+'Infos FoFö'!$C$65+'Infos FoFö'!$C$67)+'Infos FoFö'!$C$68+'Infos FoFö'!$C$69)*(1+$K55/12))</f>
        <v>5809.6677242633396</v>
      </c>
      <c r="Q55" s="414">
        <f>IF(H55=0,0,(H55*(1+'Infos FoFö'!$C$65+'Infos FoFö'!$C$67)+'Infos FoFö'!$C$68+'Infos FoFö'!$C$69)*(1+$K55/12))</f>
        <v>5942.6145860280621</v>
      </c>
      <c r="R55" s="414">
        <f>IF(I55=0,0,(I55*(1+'Infos FoFö'!$C$65+'Infos FoFö'!$C$67)+'Infos FoFö'!$C$68+'Infos FoFö'!$C$69)*(1+$K55/12))</f>
        <v>6078.6192256133727</v>
      </c>
      <c r="S55" s="422">
        <f t="shared" si="28"/>
        <v>8.9878374796434277E-2</v>
      </c>
    </row>
    <row r="56" spans="1:19" x14ac:dyDescent="0.35">
      <c r="A56" s="76" t="s">
        <v>80</v>
      </c>
      <c r="B56" s="20">
        <v>3</v>
      </c>
      <c r="C56" s="85">
        <v>3424.65</v>
      </c>
      <c r="D56" s="77">
        <v>3520.54</v>
      </c>
      <c r="E56" s="414">
        <f t="shared" ref="E56:I56" si="54">D56*(1+E$3)</f>
        <v>3601.5124199999996</v>
      </c>
      <c r="F56" s="414">
        <f t="shared" si="54"/>
        <v>3684.3472056599994</v>
      </c>
      <c r="G56" s="414">
        <f t="shared" si="54"/>
        <v>3769.0871913901792</v>
      </c>
      <c r="H56" s="414">
        <f t="shared" si="54"/>
        <v>3855.7761967921529</v>
      </c>
      <c r="I56" s="415">
        <f t="shared" si="54"/>
        <v>3944.4590493183719</v>
      </c>
      <c r="J56" s="78">
        <v>0.74350000000000005</v>
      </c>
      <c r="K56" s="78">
        <v>0.72319999999999995</v>
      </c>
      <c r="L56" s="419">
        <f>IF(C56=0,0,(C56*(1+'Infos FoFö'!$C$65+'Infos FoFö'!$C$67)+'Infos FoFö'!$C$68+'Infos FoFö'!$C$69)*(1+$J56/12))</f>
        <v>4730.9354758130212</v>
      </c>
      <c r="M56" s="414">
        <f>IF(D56=0,0,(D56*(1+'Infos FoFö'!$C$65+'Infos FoFö'!$C$67)+'Infos FoFö'!$C$68+'Infos FoFö'!$C$69)*(1+$K56/12))</f>
        <v>4854.8318042560004</v>
      </c>
      <c r="N56" s="414">
        <f>IF(E56=0,0,(E56*(1+'Infos FoFö'!$C$65+'Infos FoFö'!$C$67)+'Infos FoFö'!$C$68+'Infos FoFö'!$C$69)*(1+$K56/12))</f>
        <v>4965.8174398605543</v>
      </c>
      <c r="O56" s="414">
        <f>IF(F56=0,0,(F56*(1+'Infos FoFö'!$C$65+'Infos FoFö'!$C$67)+'Infos FoFö'!$C$68+'Infos FoFö'!$C$69)*(1+$K56/12))</f>
        <v>5079.3557450840135</v>
      </c>
      <c r="P56" s="414">
        <f>IF(G56=0,0,(G56*(1+'Infos FoFö'!$C$65+'Infos FoFö'!$C$67)+'Infos FoFö'!$C$68+'Infos FoFö'!$C$69)*(1+$K56/12))</f>
        <v>5195.5054313276123</v>
      </c>
      <c r="Q56" s="414">
        <f>IF(H56=0,0,(H56*(1+'Infos FoFö'!$C$65+'Infos FoFö'!$C$67)+'Infos FoFö'!$C$68+'Infos FoFö'!$C$69)*(1+$K56/12))</f>
        <v>5314.3265603548134</v>
      </c>
      <c r="R56" s="414">
        <f>IF(I56=0,0,(I56*(1+'Infos FoFö'!$C$65+'Infos FoFö'!$C$67)+'Infos FoFö'!$C$68+'Infos FoFö'!$C$69)*(1+$K56/12))</f>
        <v>5435.8805753496399</v>
      </c>
      <c r="S56" s="422">
        <f t="shared" si="28"/>
        <v>0.11814302975272251</v>
      </c>
    </row>
    <row r="57" spans="1:19" x14ac:dyDescent="0.35">
      <c r="A57" s="76" t="s">
        <v>80</v>
      </c>
      <c r="B57" s="20">
        <v>2</v>
      </c>
      <c r="C57" s="85">
        <v>3277.32</v>
      </c>
      <c r="D57" s="77">
        <v>3369.08</v>
      </c>
      <c r="E57" s="414">
        <f t="shared" ref="E57:I57" si="55">D57*(1+E$3)</f>
        <v>3446.5688399999995</v>
      </c>
      <c r="F57" s="414">
        <f t="shared" si="55"/>
        <v>3525.8399233199993</v>
      </c>
      <c r="G57" s="414">
        <f t="shared" si="55"/>
        <v>3606.9342415563592</v>
      </c>
      <c r="H57" s="414">
        <f t="shared" si="55"/>
        <v>3689.8937291121551</v>
      </c>
      <c r="I57" s="415">
        <f t="shared" si="55"/>
        <v>3774.7612848817344</v>
      </c>
      <c r="J57" s="78">
        <v>0.74350000000000005</v>
      </c>
      <c r="K57" s="78">
        <v>0.72319999999999995</v>
      </c>
      <c r="L57" s="419">
        <f>IF(C57=0,0,(C57*(1+'Infos FoFö'!$C$65+'Infos FoFö'!$C$67)+'Infos FoFö'!$C$68+'Infos FoFö'!$C$69)*(1+$J57/12))</f>
        <v>4528.673981017083</v>
      </c>
      <c r="M57" s="414">
        <f>IF(D57=0,0,(D57*(1+'Infos FoFö'!$C$65+'Infos FoFö'!$C$67)+'Infos FoFö'!$C$68+'Infos FoFö'!$C$69)*(1+$K57/12))</f>
        <v>4647.2316810453331</v>
      </c>
      <c r="N57" s="414">
        <f>IF(E57=0,0,(E57*(1+'Infos FoFö'!$C$65+'Infos FoFö'!$C$67)+'Infos FoFö'!$C$68+'Infos FoFö'!$C$69)*(1+$K57/12))</f>
        <v>4753.4425138160423</v>
      </c>
      <c r="O57" s="414">
        <f>IF(F57=0,0,(F57*(1+'Infos FoFö'!$C$65+'Infos FoFö'!$C$67)+'Infos FoFö'!$C$68+'Infos FoFö'!$C$69)*(1+$K57/12))</f>
        <v>4862.0961957404779</v>
      </c>
      <c r="P57" s="414">
        <f>IF(G57=0,0,(G57*(1+'Infos FoFö'!$C$65+'Infos FoFö'!$C$67)+'Infos FoFö'!$C$68+'Infos FoFö'!$C$69)*(1+$K57/12))</f>
        <v>4973.248912349175</v>
      </c>
      <c r="Q57" s="414">
        <f>IF(H57=0,0,(H57*(1+'Infos FoFö'!$C$65+'Infos FoFö'!$C$67)+'Infos FoFö'!$C$68+'Infos FoFö'!$C$69)*(1+$K57/12))</f>
        <v>5086.9581414398726</v>
      </c>
      <c r="R57" s="414">
        <f>IF(I57=0,0,(I57*(1+'Infos FoFö'!$C$65+'Infos FoFö'!$C$67)+'Infos FoFö'!$C$68+'Infos FoFö'!$C$69)*(1+$K57/12))</f>
        <v>5203.282682799656</v>
      </c>
      <c r="S57" s="422">
        <f t="shared" si="28"/>
        <v>4.4662410154442791E-2</v>
      </c>
    </row>
    <row r="58" spans="1:19" ht="15" thickBot="1" x14ac:dyDescent="0.4">
      <c r="A58" s="76" t="s">
        <v>80</v>
      </c>
      <c r="B58" s="20">
        <v>1</v>
      </c>
      <c r="C58" s="85">
        <v>3051.16</v>
      </c>
      <c r="D58" s="77">
        <v>3136.59</v>
      </c>
      <c r="E58" s="414">
        <f t="shared" ref="E58:I58" si="56">D58*(1+E$3)</f>
        <v>3208.7315699999999</v>
      </c>
      <c r="F58" s="414">
        <f t="shared" si="56"/>
        <v>3282.5323961099998</v>
      </c>
      <c r="G58" s="414">
        <f t="shared" si="56"/>
        <v>3358.0306412205296</v>
      </c>
      <c r="H58" s="414">
        <f t="shared" si="56"/>
        <v>3435.2653459686017</v>
      </c>
      <c r="I58" s="415">
        <f t="shared" si="56"/>
        <v>3514.2764489258793</v>
      </c>
      <c r="J58" s="78">
        <v>0.74350000000000005</v>
      </c>
      <c r="K58" s="78">
        <v>0.72319999999999995</v>
      </c>
      <c r="L58" s="419">
        <f>IF(C58=0,0,(C58*(1+'Infos FoFö'!$C$65+'Infos FoFö'!$C$67)+'Infos FoFö'!$C$68+'Infos FoFö'!$C$69)*(1+$J58/12))</f>
        <v>4218.1909859512507</v>
      </c>
      <c r="M58" s="414">
        <f>IF(D58=0,0,(D58*(1+'Infos FoFö'!$C$65+'Infos FoFö'!$C$67)+'Infos FoFö'!$C$68+'Infos FoFö'!$C$69)*(1+$K58/12))</f>
        <v>4328.5669996426677</v>
      </c>
      <c r="N58" s="414">
        <f>IF(E58=0,0,(E58*(1+'Infos FoFö'!$C$65+'Infos FoFö'!$C$67)+'Infos FoFö'!$C$68+'Infos FoFö'!$C$69)*(1+$K58/12))</f>
        <v>4427.4485447411143</v>
      </c>
      <c r="O58" s="414">
        <f>IF(F58=0,0,(F58*(1+'Infos FoFö'!$C$65+'Infos FoFö'!$C$67)+'Infos FoFö'!$C$68+'Infos FoFö'!$C$69)*(1+$K58/12))</f>
        <v>4528.6043653768265</v>
      </c>
      <c r="P58" s="414">
        <f>IF(G58=0,0,(G58*(1+'Infos FoFö'!$C$65+'Infos FoFö'!$C$67)+'Infos FoFö'!$C$68+'Infos FoFö'!$C$69)*(1+$K58/12))</f>
        <v>4632.0867698871607</v>
      </c>
      <c r="Q58" s="414">
        <f>IF(H58=0,0,(H58*(1+'Infos FoFö'!$C$65+'Infos FoFö'!$C$67)+'Infos FoFö'!$C$68+'Infos FoFö'!$C$69)*(1+$K58/12))</f>
        <v>4737.9492697012311</v>
      </c>
      <c r="R58" s="414">
        <f>IF(I58=0,0,(I58*(1+'Infos FoFö'!$C$65+'Infos FoFö'!$C$67)+'Infos FoFö'!$C$68+'Infos FoFö'!$C$69)*(1+$K58/12))</f>
        <v>4846.2466070110258</v>
      </c>
      <c r="S58" s="422">
        <f t="shared" si="28"/>
        <v>7.3605722476744323E-2</v>
      </c>
    </row>
    <row r="59" spans="1:19" x14ac:dyDescent="0.35">
      <c r="A59" s="87" t="s">
        <v>81</v>
      </c>
      <c r="B59" s="88">
        <v>6</v>
      </c>
      <c r="C59" s="89">
        <v>3945.49</v>
      </c>
      <c r="D59" s="90">
        <v>4055.96</v>
      </c>
      <c r="E59" s="412">
        <f t="shared" ref="E59:I59" si="57">D59*(1+E$3)</f>
        <v>4149.2470800000001</v>
      </c>
      <c r="F59" s="412">
        <f t="shared" si="57"/>
        <v>4244.67976284</v>
      </c>
      <c r="G59" s="412">
        <f t="shared" si="57"/>
        <v>4342.3073973853197</v>
      </c>
      <c r="H59" s="412">
        <f t="shared" si="57"/>
        <v>4442.1804675251815</v>
      </c>
      <c r="I59" s="413">
        <f t="shared" si="57"/>
        <v>4544.3506182782603</v>
      </c>
      <c r="J59" s="91">
        <v>0.74350000000000005</v>
      </c>
      <c r="K59" s="91">
        <v>0.72319999999999995</v>
      </c>
      <c r="L59" s="418">
        <f>IF(C59=0,0,(C59*(1+'Infos FoFö'!$C$65+'Infos FoFö'!$C$67)+'Infos FoFö'!$C$68+'Infos FoFö'!$C$69)*(1+$J59/12))</f>
        <v>5445.9689174034374</v>
      </c>
      <c r="M59" s="412">
        <f>IF(D59=0,0,(D59*(1+'Infos FoFö'!$C$65+'Infos FoFö'!$C$67)+'Infos FoFö'!$C$68+'Infos FoFö'!$C$69)*(1+$K59/12))</f>
        <v>5588.7104386773335</v>
      </c>
      <c r="N59" s="412">
        <f>IF(E59=0,0,(E59*(1+'Infos FoFö'!$C$65+'Infos FoFö'!$C$67)+'Infos FoFö'!$C$68+'Infos FoFö'!$C$69)*(1+$K59/12))</f>
        <v>5716.5752828735795</v>
      </c>
      <c r="O59" s="412">
        <f>IF(F59=0,0,(F59*(1+'Infos FoFö'!$C$65+'Infos FoFö'!$C$67)+'Infos FoFö'!$C$68+'Infos FoFö'!$C$69)*(1+$K59/12))</f>
        <v>5847.3810184863378</v>
      </c>
      <c r="P59" s="412">
        <f>IF(G59=0,0,(G59*(1+'Infos FoFö'!$C$65+'Infos FoFö'!$C$67)+'Infos FoFö'!$C$68+'Infos FoFö'!$C$69)*(1+$K59/12))</f>
        <v>5981.19528601819</v>
      </c>
      <c r="Q59" s="412">
        <f>IF(H59=0,0,(H59*(1+'Infos FoFö'!$C$65+'Infos FoFö'!$C$67)+'Infos FoFö'!$C$68+'Infos FoFö'!$C$69)*(1+$K59/12))</f>
        <v>6118.0872817032741</v>
      </c>
      <c r="R59" s="412">
        <f>IF(I59=0,0,(I59*(1+'Infos FoFö'!$C$65+'Infos FoFö'!$C$67)+'Infos FoFö'!$C$68+'Infos FoFö'!$C$69)*(1+$K59/12))</f>
        <v>6258.1277932891153</v>
      </c>
      <c r="S59" s="421">
        <f t="shared" si="28"/>
        <v>0</v>
      </c>
    </row>
    <row r="60" spans="1:19" x14ac:dyDescent="0.35">
      <c r="A60" s="76" t="s">
        <v>81</v>
      </c>
      <c r="B60" s="20">
        <v>5</v>
      </c>
      <c r="C60" s="85">
        <v>3831.78</v>
      </c>
      <c r="D60" s="77">
        <v>3939.07</v>
      </c>
      <c r="E60" s="414">
        <f t="shared" ref="E60:I60" si="58">D60*(1+E$3)</f>
        <v>4029.6686099999997</v>
      </c>
      <c r="F60" s="414">
        <f t="shared" si="58"/>
        <v>4122.3509880299989</v>
      </c>
      <c r="G60" s="414">
        <f t="shared" si="58"/>
        <v>4217.165060754689</v>
      </c>
      <c r="H60" s="414">
        <f t="shared" si="58"/>
        <v>4314.1598571520462</v>
      </c>
      <c r="I60" s="415">
        <f t="shared" si="58"/>
        <v>4413.3855338665426</v>
      </c>
      <c r="J60" s="78">
        <v>0.74350000000000005</v>
      </c>
      <c r="K60" s="78">
        <v>0.72319999999999995</v>
      </c>
      <c r="L60" s="419">
        <f>IF(C60=0,0,(C60*(1+'Infos FoFö'!$C$65+'Infos FoFö'!$C$67)+'Infos FoFö'!$C$68+'Infos FoFö'!$C$69)*(1+$J60/12))</f>
        <v>5289.8625264902093</v>
      </c>
      <c r="M60" s="414">
        <f>IF(D60=0,0,(D60*(1+'Infos FoFö'!$C$65+'Infos FoFö'!$C$67)+'Infos FoFö'!$C$68+'Infos FoFö'!$C$69)*(1+$K60/12))</f>
        <v>5428.4940224480006</v>
      </c>
      <c r="N60" s="414">
        <f>IF(E60=0,0,(E60*(1+'Infos FoFö'!$C$65+'Infos FoFö'!$C$67)+'Infos FoFö'!$C$68+'Infos FoFö'!$C$69)*(1+$K60/12))</f>
        <v>5552.6738890709703</v>
      </c>
      <c r="O60" s="414">
        <f>IF(F60=0,0,(F60*(1+'Infos FoFö'!$C$65+'Infos FoFö'!$C$67)+'Infos FoFö'!$C$68+'Infos FoFö'!$C$69)*(1+$K60/12))</f>
        <v>5679.7098926262688</v>
      </c>
      <c r="P60" s="414">
        <f>IF(G60=0,0,(G60*(1+'Infos FoFö'!$C$65+'Infos FoFö'!$C$67)+'Infos FoFö'!$C$68+'Infos FoFö'!$C$69)*(1+$K60/12))</f>
        <v>5809.6677242633396</v>
      </c>
      <c r="Q60" s="414">
        <f>IF(H60=0,0,(H60*(1+'Infos FoFö'!$C$65+'Infos FoFö'!$C$67)+'Infos FoFö'!$C$68+'Infos FoFö'!$C$69)*(1+$K60/12))</f>
        <v>5942.6145860280621</v>
      </c>
      <c r="R60" s="414">
        <f>IF(I60=0,0,(I60*(1+'Infos FoFö'!$C$65+'Infos FoFö'!$C$67)+'Infos FoFö'!$C$68+'Infos FoFö'!$C$69)*(1+$K60/12))</f>
        <v>6078.6192256133727</v>
      </c>
      <c r="S60" s="422">
        <f t="shared" si="28"/>
        <v>2.9510481630002531E-2</v>
      </c>
    </row>
    <row r="61" spans="1:19" x14ac:dyDescent="0.35">
      <c r="A61" s="76" t="s">
        <v>81</v>
      </c>
      <c r="B61" s="20">
        <v>4</v>
      </c>
      <c r="C61" s="85">
        <v>3424.65</v>
      </c>
      <c r="D61" s="77">
        <v>3520.54</v>
      </c>
      <c r="E61" s="414">
        <f t="shared" ref="E61:I61" si="59">D61*(1+E$3)</f>
        <v>3601.5124199999996</v>
      </c>
      <c r="F61" s="414">
        <f t="shared" si="59"/>
        <v>3684.3472056599994</v>
      </c>
      <c r="G61" s="414">
        <f t="shared" si="59"/>
        <v>3769.0871913901792</v>
      </c>
      <c r="H61" s="414">
        <f t="shared" si="59"/>
        <v>3855.7761967921529</v>
      </c>
      <c r="I61" s="415">
        <f t="shared" si="59"/>
        <v>3944.4590493183719</v>
      </c>
      <c r="J61" s="78">
        <v>0.74350000000000005</v>
      </c>
      <c r="K61" s="78">
        <v>0.72319999999999995</v>
      </c>
      <c r="L61" s="419">
        <f>IF(C61=0,0,(C61*(1+'Infos FoFö'!$C$65+'Infos FoFö'!$C$67)+'Infos FoFö'!$C$68+'Infos FoFö'!$C$69)*(1+$J61/12))</f>
        <v>4730.9354758130212</v>
      </c>
      <c r="M61" s="414">
        <f>IF(D61=0,0,(D61*(1+'Infos FoFö'!$C$65+'Infos FoFö'!$C$67)+'Infos FoFö'!$C$68+'Infos FoFö'!$C$69)*(1+$K61/12))</f>
        <v>4854.8318042560004</v>
      </c>
      <c r="N61" s="414">
        <f>IF(E61=0,0,(E61*(1+'Infos FoFö'!$C$65+'Infos FoFö'!$C$67)+'Infos FoFö'!$C$68+'Infos FoFö'!$C$69)*(1+$K61/12))</f>
        <v>4965.8174398605543</v>
      </c>
      <c r="O61" s="414">
        <f>IF(F61=0,0,(F61*(1+'Infos FoFö'!$C$65+'Infos FoFö'!$C$67)+'Infos FoFö'!$C$68+'Infos FoFö'!$C$69)*(1+$K61/12))</f>
        <v>5079.3557450840135</v>
      </c>
      <c r="P61" s="414">
        <f>IF(G61=0,0,(G61*(1+'Infos FoFö'!$C$65+'Infos FoFö'!$C$67)+'Infos FoFö'!$C$68+'Infos FoFö'!$C$69)*(1+$K61/12))</f>
        <v>5195.5054313276123</v>
      </c>
      <c r="Q61" s="414">
        <f>IF(H61=0,0,(H61*(1+'Infos FoFö'!$C$65+'Infos FoFö'!$C$67)+'Infos FoFö'!$C$68+'Infos FoFö'!$C$69)*(1+$K61/12))</f>
        <v>5314.3265603548134</v>
      </c>
      <c r="R61" s="414">
        <f>IF(I61=0,0,(I61*(1+'Infos FoFö'!$C$65+'Infos FoFö'!$C$67)+'Infos FoFö'!$C$68+'Infos FoFö'!$C$69)*(1+$K61/12))</f>
        <v>5435.8805753496399</v>
      </c>
      <c r="S61" s="422">
        <f t="shared" si="28"/>
        <v>0.11814302975272251</v>
      </c>
    </row>
    <row r="62" spans="1:19" x14ac:dyDescent="0.35">
      <c r="A62" s="76" t="s">
        <v>81</v>
      </c>
      <c r="B62" s="20">
        <v>3</v>
      </c>
      <c r="C62" s="85">
        <v>3326.44</v>
      </c>
      <c r="D62" s="77">
        <v>3419.58</v>
      </c>
      <c r="E62" s="414">
        <f t="shared" ref="E62:I62" si="60">D62*(1+E$3)</f>
        <v>3498.2303399999996</v>
      </c>
      <c r="F62" s="414">
        <f t="shared" si="60"/>
        <v>3578.6896378199995</v>
      </c>
      <c r="G62" s="414">
        <f t="shared" si="60"/>
        <v>3660.9994994898593</v>
      </c>
      <c r="H62" s="414">
        <f t="shared" si="60"/>
        <v>3745.2024879781256</v>
      </c>
      <c r="I62" s="415">
        <f t="shared" si="60"/>
        <v>3831.3421452016223</v>
      </c>
      <c r="J62" s="78">
        <v>0.74350000000000005</v>
      </c>
      <c r="K62" s="78">
        <v>0.72319999999999995</v>
      </c>
      <c r="L62" s="419">
        <f>IF(C62=0,0,(C62*(1+'Infos FoFö'!$C$65+'Infos FoFö'!$C$67)+'Infos FoFö'!$C$68+'Infos FoFö'!$C$69)*(1+$J62/12))</f>
        <v>4596.1082077487499</v>
      </c>
      <c r="M62" s="414">
        <f>IF(D62=0,0,(D62*(1+'Infos FoFö'!$C$65+'Infos FoFö'!$C$67)+'Infos FoFö'!$C$68+'Infos FoFö'!$C$69)*(1+$K62/12))</f>
        <v>4716.4499975786666</v>
      </c>
      <c r="N62" s="414">
        <f>IF(E62=0,0,(E62*(1+'Infos FoFö'!$C$65+'Infos FoFö'!$C$67)+'Infos FoFö'!$C$68+'Infos FoFö'!$C$69)*(1+$K62/12))</f>
        <v>4824.2528516296425</v>
      </c>
      <c r="O62" s="414">
        <f>IF(F62=0,0,(F62*(1+'Infos FoFö'!$C$65+'Infos FoFö'!$C$67)+'Infos FoFö'!$C$68+'Infos FoFö'!$C$69)*(1+$K62/12))</f>
        <v>4934.5351713237906</v>
      </c>
      <c r="P62" s="414">
        <f>IF(G62=0,0,(G62*(1+'Infos FoFö'!$C$65+'Infos FoFö'!$C$67)+'Infos FoFö'!$C$68+'Infos FoFö'!$C$69)*(1+$K62/12))</f>
        <v>5047.3539843709041</v>
      </c>
      <c r="Q62" s="414">
        <f>IF(H62=0,0,(H62*(1+'Infos FoFö'!$C$65+'Infos FoFö'!$C$67)+'Infos FoFö'!$C$68+'Infos FoFö'!$C$69)*(1+$K62/12))</f>
        <v>5162.7676301181018</v>
      </c>
      <c r="R62" s="414">
        <f>IF(I62=0,0,(I62*(1+'Infos FoFö'!$C$65+'Infos FoFö'!$C$67)+'Infos FoFö'!$C$68+'Infos FoFö'!$C$69)*(1+$K62/12))</f>
        <v>5280.8357897174837</v>
      </c>
      <c r="S62" s="422">
        <f t="shared" ref="S62:S93" si="61">IF((L61-L62)/L62&lt;0,0,(L61-L62)/L62)</f>
        <v>2.9335094382016716E-2</v>
      </c>
    </row>
    <row r="63" spans="1:19" x14ac:dyDescent="0.35">
      <c r="A63" s="76" t="s">
        <v>81</v>
      </c>
      <c r="B63" s="20">
        <v>2</v>
      </c>
      <c r="C63" s="85">
        <v>3277.32</v>
      </c>
      <c r="D63" s="77">
        <v>3369.08</v>
      </c>
      <c r="E63" s="414">
        <f t="shared" ref="E63:I63" si="62">D63*(1+E$3)</f>
        <v>3446.5688399999995</v>
      </c>
      <c r="F63" s="414">
        <f t="shared" si="62"/>
        <v>3525.8399233199993</v>
      </c>
      <c r="G63" s="414">
        <f t="shared" si="62"/>
        <v>3606.9342415563592</v>
      </c>
      <c r="H63" s="414">
        <f t="shared" si="62"/>
        <v>3689.8937291121551</v>
      </c>
      <c r="I63" s="415">
        <f t="shared" si="62"/>
        <v>3774.7612848817344</v>
      </c>
      <c r="J63" s="78">
        <v>0.74350000000000005</v>
      </c>
      <c r="K63" s="78">
        <v>0.72319999999999995</v>
      </c>
      <c r="L63" s="419">
        <f>IF(C63=0,0,(C63*(1+'Infos FoFö'!$C$65+'Infos FoFö'!$C$67)+'Infos FoFö'!$C$68+'Infos FoFö'!$C$69)*(1+$J63/12))</f>
        <v>4528.673981017083</v>
      </c>
      <c r="M63" s="414">
        <f>IF(D63=0,0,(D63*(1+'Infos FoFö'!$C$65+'Infos FoFö'!$C$67)+'Infos FoFö'!$C$68+'Infos FoFö'!$C$69)*(1+$K63/12))</f>
        <v>4647.2316810453331</v>
      </c>
      <c r="N63" s="414">
        <f>IF(E63=0,0,(E63*(1+'Infos FoFö'!$C$65+'Infos FoFö'!$C$67)+'Infos FoFö'!$C$68+'Infos FoFö'!$C$69)*(1+$K63/12))</f>
        <v>4753.4425138160423</v>
      </c>
      <c r="O63" s="414">
        <f>IF(F63=0,0,(F63*(1+'Infos FoFö'!$C$65+'Infos FoFö'!$C$67)+'Infos FoFö'!$C$68+'Infos FoFö'!$C$69)*(1+$K63/12))</f>
        <v>4862.0961957404779</v>
      </c>
      <c r="P63" s="414">
        <f>IF(G63=0,0,(G63*(1+'Infos FoFö'!$C$65+'Infos FoFö'!$C$67)+'Infos FoFö'!$C$68+'Infos FoFö'!$C$69)*(1+$K63/12))</f>
        <v>4973.248912349175</v>
      </c>
      <c r="Q63" s="414">
        <f>IF(H63=0,0,(H63*(1+'Infos FoFö'!$C$65+'Infos FoFö'!$C$67)+'Infos FoFö'!$C$68+'Infos FoFö'!$C$69)*(1+$K63/12))</f>
        <v>5086.9581414398726</v>
      </c>
      <c r="R63" s="414">
        <f>IF(I63=0,0,(I63*(1+'Infos FoFö'!$C$65+'Infos FoFö'!$C$67)+'Infos FoFö'!$C$68+'Infos FoFö'!$C$69)*(1+$K63/12))</f>
        <v>5203.282682799656</v>
      </c>
      <c r="S63" s="422">
        <f t="shared" si="61"/>
        <v>1.4890501505370473E-2</v>
      </c>
    </row>
    <row r="64" spans="1:19" ht="15" thickBot="1" x14ac:dyDescent="0.4">
      <c r="A64" s="79" t="s">
        <v>81</v>
      </c>
      <c r="B64" s="80">
        <v>1</v>
      </c>
      <c r="C64" s="86">
        <v>3051.16</v>
      </c>
      <c r="D64" s="81">
        <v>3136.59</v>
      </c>
      <c r="E64" s="416">
        <f t="shared" ref="E64:I64" si="63">D64*(1+E$3)</f>
        <v>3208.7315699999999</v>
      </c>
      <c r="F64" s="416">
        <f t="shared" si="63"/>
        <v>3282.5323961099998</v>
      </c>
      <c r="G64" s="416">
        <f t="shared" si="63"/>
        <v>3358.0306412205296</v>
      </c>
      <c r="H64" s="416">
        <f t="shared" si="63"/>
        <v>3435.2653459686017</v>
      </c>
      <c r="I64" s="417">
        <f t="shared" si="63"/>
        <v>3514.2764489258793</v>
      </c>
      <c r="J64" s="82">
        <v>0.74350000000000005</v>
      </c>
      <c r="K64" s="82">
        <v>0.72319999999999995</v>
      </c>
      <c r="L64" s="420">
        <f>IF(C64=0,0,(C64*(1+'Infos FoFö'!$C$65+'Infos FoFö'!$C$67)+'Infos FoFö'!$C$68+'Infos FoFö'!$C$69)*(1+$J64/12))</f>
        <v>4218.1909859512507</v>
      </c>
      <c r="M64" s="416">
        <f>IF(D64=0,0,(D64*(1+'Infos FoFö'!$C$65+'Infos FoFö'!$C$67)+'Infos FoFö'!$C$68+'Infos FoFö'!$C$69)*(1+$K64/12))</f>
        <v>4328.5669996426677</v>
      </c>
      <c r="N64" s="416">
        <f>IF(E64=0,0,(E64*(1+'Infos FoFö'!$C$65+'Infos FoFö'!$C$67)+'Infos FoFö'!$C$68+'Infos FoFö'!$C$69)*(1+$K64/12))</f>
        <v>4427.4485447411143</v>
      </c>
      <c r="O64" s="416">
        <f>IF(F64=0,0,(F64*(1+'Infos FoFö'!$C$65+'Infos FoFö'!$C$67)+'Infos FoFö'!$C$68+'Infos FoFö'!$C$69)*(1+$K64/12))</f>
        <v>4528.6043653768265</v>
      </c>
      <c r="P64" s="416">
        <f>IF(G64=0,0,(G64*(1+'Infos FoFö'!$C$65+'Infos FoFö'!$C$67)+'Infos FoFö'!$C$68+'Infos FoFö'!$C$69)*(1+$K64/12))</f>
        <v>4632.0867698871607</v>
      </c>
      <c r="Q64" s="416">
        <f>IF(H64=0,0,(H64*(1+'Infos FoFö'!$C$65+'Infos FoFö'!$C$67)+'Infos FoFö'!$C$68+'Infos FoFö'!$C$69)*(1+$K64/12))</f>
        <v>4737.9492697012311</v>
      </c>
      <c r="R64" s="416">
        <f>IF(I64=0,0,(I64*(1+'Infos FoFö'!$C$65+'Infos FoFö'!$C$67)+'Infos FoFö'!$C$68+'Infos FoFö'!$C$69)*(1+$K64/12))</f>
        <v>4846.2466070110258</v>
      </c>
      <c r="S64" s="423">
        <f t="shared" si="61"/>
        <v>7.3605722476744323E-2</v>
      </c>
    </row>
    <row r="65" spans="1:19" x14ac:dyDescent="0.35">
      <c r="A65" s="76" t="s">
        <v>82</v>
      </c>
      <c r="B65" s="20">
        <v>6</v>
      </c>
      <c r="C65" s="85">
        <v>3535.15</v>
      </c>
      <c r="D65" s="77">
        <v>3634.13</v>
      </c>
      <c r="E65" s="414">
        <f t="shared" ref="E65:I65" si="64">D65*(1+E$3)</f>
        <v>3717.7149899999999</v>
      </c>
      <c r="F65" s="414">
        <f t="shared" si="64"/>
        <v>3803.2224347699994</v>
      </c>
      <c r="G65" s="414">
        <f t="shared" si="64"/>
        <v>3890.6965507697091</v>
      </c>
      <c r="H65" s="414">
        <f t="shared" si="64"/>
        <v>3980.1825714374122</v>
      </c>
      <c r="I65" s="415">
        <f t="shared" si="64"/>
        <v>4071.7267705804725</v>
      </c>
      <c r="J65" s="78">
        <v>0.88139999999999996</v>
      </c>
      <c r="K65" s="78">
        <v>0.85740000000000005</v>
      </c>
      <c r="L65" s="419">
        <f>IF(C65=0,0,(C65*(1+'Infos FoFö'!$C$65+'Infos FoFö'!$C$67)+'Infos FoFö'!$C$68+'Infos FoFö'!$C$69)*(1+$J65/12))</f>
        <v>4935.4710136856247</v>
      </c>
      <c r="M65" s="414">
        <f>IF(D65=0,0,(D65*(1+'Infos FoFö'!$C$65+'Infos FoFö'!$C$67)+'Infos FoFö'!$C$68+'Infos FoFö'!$C$69)*(1+$K65/12))</f>
        <v>5063.3743627833746</v>
      </c>
      <c r="N65" s="414">
        <f>IF(E65=0,0,(E65*(1+'Infos FoFö'!$C$65+'Infos FoFö'!$C$67)+'Infos FoFö'!$C$68+'Infos FoFö'!$C$69)*(1+$K65/12))</f>
        <v>5179.1493523323925</v>
      </c>
      <c r="O65" s="414">
        <f>IF(F65=0,0,(F65*(1+'Infos FoFö'!$C$65+'Infos FoFö'!$C$67)+'Infos FoFö'!$C$68+'Infos FoFö'!$C$69)*(1+$K65/12))</f>
        <v>5297.5871666410367</v>
      </c>
      <c r="P65" s="414">
        <f>IF(G65=0,0,(G65*(1+'Infos FoFö'!$C$65+'Infos FoFö'!$C$67)+'Infos FoFö'!$C$68+'Infos FoFö'!$C$69)*(1+$K65/12))</f>
        <v>5418.7490506787808</v>
      </c>
      <c r="Q65" s="414">
        <f>IF(H65=0,0,(H65*(1+'Infos FoFö'!$C$65+'Infos FoFö'!$C$67)+'Infos FoFö'!$C$68+'Infos FoFö'!$C$69)*(1+$K65/12))</f>
        <v>5542.697658049392</v>
      </c>
      <c r="R65" s="414">
        <f>IF(I65=0,0,(I65*(1+'Infos FoFö'!$C$65+'Infos FoFö'!$C$67)+'Infos FoFö'!$C$68+'Infos FoFö'!$C$69)*(1+$K65/12))</f>
        <v>5669.4970833895277</v>
      </c>
      <c r="S65" s="422">
        <f t="shared" si="61"/>
        <v>0</v>
      </c>
    </row>
    <row r="66" spans="1:19" x14ac:dyDescent="0.35">
      <c r="A66" s="76" t="s">
        <v>82</v>
      </c>
      <c r="B66" s="20">
        <v>5</v>
      </c>
      <c r="C66" s="85">
        <v>3455.35</v>
      </c>
      <c r="D66" s="77">
        <v>3552.1</v>
      </c>
      <c r="E66" s="414">
        <f t="shared" ref="E66:I66" si="65">D66*(1+E$3)</f>
        <v>3633.7982999999995</v>
      </c>
      <c r="F66" s="414">
        <f t="shared" si="65"/>
        <v>3717.3756608999993</v>
      </c>
      <c r="G66" s="414">
        <f t="shared" si="65"/>
        <v>3802.8753011006988</v>
      </c>
      <c r="H66" s="414">
        <f t="shared" si="65"/>
        <v>3890.3414330260148</v>
      </c>
      <c r="I66" s="415">
        <f t="shared" si="65"/>
        <v>3979.8192859856126</v>
      </c>
      <c r="J66" s="78">
        <v>0.88139999999999996</v>
      </c>
      <c r="K66" s="78">
        <v>0.85740000000000005</v>
      </c>
      <c r="L66" s="419">
        <f>IF(C66=0,0,(C66*(1+'Infos FoFö'!$C$65+'Infos FoFö'!$C$67)+'Infos FoFö'!$C$68+'Infos FoFö'!$C$69)*(1+$J66/12))</f>
        <v>4824.732355183125</v>
      </c>
      <c r="M66" s="414">
        <f>IF(D66=0,0,(D66*(1+'Infos FoFö'!$C$65+'Infos FoFö'!$C$67)+'Infos FoFö'!$C$68+'Infos FoFö'!$C$69)*(1+$K66/12))</f>
        <v>4949.75321629875</v>
      </c>
      <c r="N66" s="414">
        <f>IF(E66=0,0,(E66*(1+'Infos FoFö'!$C$65+'Infos FoFö'!$C$67)+'Infos FoFö'!$C$68+'Infos FoFö'!$C$69)*(1+$K66/12))</f>
        <v>5062.9149194786205</v>
      </c>
      <c r="O66" s="414">
        <f>IF(F66=0,0,(F66*(1+'Infos FoFö'!$C$65+'Infos FoFö'!$C$67)+'Infos FoFö'!$C$68+'Infos FoFö'!$C$69)*(1+$K66/12))</f>
        <v>5178.6793418316292</v>
      </c>
      <c r="P66" s="414">
        <f>IF(G66=0,0,(G66*(1+'Infos FoFö'!$C$65+'Infos FoFö'!$C$67)+'Infos FoFö'!$C$68+'Infos FoFö'!$C$69)*(1+$K66/12))</f>
        <v>5297.1063458987555</v>
      </c>
      <c r="Q66" s="414">
        <f>IF(H66=0,0,(H66*(1+'Infos FoFö'!$C$65+'Infos FoFö'!$C$67)+'Infos FoFö'!$C$68+'Infos FoFö'!$C$69)*(1+$K66/12))</f>
        <v>5418.2571710594275</v>
      </c>
      <c r="R66" s="414">
        <f>IF(I66=0,0,(I66*(1+'Infos FoFö'!$C$65+'Infos FoFö'!$C$67)+'Infos FoFö'!$C$68+'Infos FoFö'!$C$69)*(1+$K66/12))</f>
        <v>5542.1944651987924</v>
      </c>
      <c r="S66" s="422">
        <f t="shared" si="61"/>
        <v>2.2952290479602476E-2</v>
      </c>
    </row>
    <row r="67" spans="1:19" x14ac:dyDescent="0.35">
      <c r="A67" s="76" t="s">
        <v>82</v>
      </c>
      <c r="B67" s="20">
        <v>4</v>
      </c>
      <c r="C67" s="85">
        <v>3326.44</v>
      </c>
      <c r="D67" s="77">
        <v>3419.58</v>
      </c>
      <c r="E67" s="414">
        <f t="shared" ref="E67:I67" si="66">D67*(1+E$3)</f>
        <v>3498.2303399999996</v>
      </c>
      <c r="F67" s="414">
        <f t="shared" si="66"/>
        <v>3578.6896378199995</v>
      </c>
      <c r="G67" s="414">
        <f t="shared" si="66"/>
        <v>3660.9994994898593</v>
      </c>
      <c r="H67" s="414">
        <f t="shared" si="66"/>
        <v>3745.2024879781256</v>
      </c>
      <c r="I67" s="415">
        <f t="shared" si="66"/>
        <v>3831.3421452016223</v>
      </c>
      <c r="J67" s="78">
        <v>0.88139999999999996</v>
      </c>
      <c r="K67" s="78">
        <v>0.85740000000000005</v>
      </c>
      <c r="L67" s="419">
        <f>IF(C67=0,0,(C67*(1+'Infos FoFö'!$C$65+'Infos FoFö'!$C$67)+'Infos FoFö'!$C$68+'Infos FoFö'!$C$69)*(1+$J67/12))</f>
        <v>4645.8436275194999</v>
      </c>
      <c r="M67" s="414">
        <f>IF(D67=0,0,(D67*(1+'Infos FoFö'!$C$65+'Infos FoFö'!$C$67)+'Infos FoFö'!$C$68+'Infos FoFö'!$C$69)*(1+$K67/12))</f>
        <v>4766.1975131152503</v>
      </c>
      <c r="N67" s="414">
        <f>IF(E67=0,0,(E67*(1+'Infos FoFö'!$C$65+'Infos FoFö'!$C$67)+'Infos FoFö'!$C$68+'Infos FoFö'!$C$69)*(1+$K67/12))</f>
        <v>4875.1374351219001</v>
      </c>
      <c r="O67" s="414">
        <f>IF(F67=0,0,(F67*(1+'Infos FoFö'!$C$65+'Infos FoFö'!$C$67)+'Infos FoFö'!$C$68+'Infos FoFö'!$C$69)*(1+$K67/12))</f>
        <v>4986.5829753347034</v>
      </c>
      <c r="P67" s="414">
        <f>IF(G67=0,0,(G67*(1+'Infos FoFö'!$C$65+'Infos FoFö'!$C$67)+'Infos FoFö'!$C$68+'Infos FoFö'!$C$69)*(1+$K67/12))</f>
        <v>5100.5917629724017</v>
      </c>
      <c r="Q67" s="414">
        <f>IF(H67=0,0,(H67*(1+'Infos FoFö'!$C$65+'Infos FoFö'!$C$67)+'Infos FoFö'!$C$68+'Infos FoFö'!$C$69)*(1+$K67/12))</f>
        <v>5217.2227527257664</v>
      </c>
      <c r="R67" s="414">
        <f>IF(I67=0,0,(I67*(1+'Infos FoFö'!$C$65+'Infos FoFö'!$C$67)+'Infos FoFö'!$C$68+'Infos FoFö'!$C$69)*(1+$K67/12))</f>
        <v>5336.536255243459</v>
      </c>
      <c r="S67" s="422">
        <f t="shared" si="61"/>
        <v>3.8505111666691426E-2</v>
      </c>
    </row>
    <row r="68" spans="1:19" x14ac:dyDescent="0.35">
      <c r="A68" s="76" t="s">
        <v>82</v>
      </c>
      <c r="B68" s="20">
        <v>3</v>
      </c>
      <c r="C68" s="85">
        <v>3209.79</v>
      </c>
      <c r="D68" s="77">
        <v>3299.66</v>
      </c>
      <c r="E68" s="414">
        <f t="shared" ref="E68:I68" si="67">D68*(1+E$3)</f>
        <v>3375.5521799999997</v>
      </c>
      <c r="F68" s="414">
        <f t="shared" si="67"/>
        <v>3453.1898801399993</v>
      </c>
      <c r="G68" s="414">
        <f t="shared" si="67"/>
        <v>3532.613247383219</v>
      </c>
      <c r="H68" s="414">
        <f t="shared" si="67"/>
        <v>3613.8633520730327</v>
      </c>
      <c r="I68" s="415">
        <f t="shared" si="67"/>
        <v>3696.9822091707119</v>
      </c>
      <c r="J68" s="78">
        <v>0.88139999999999996</v>
      </c>
      <c r="K68" s="78">
        <v>0.85740000000000005</v>
      </c>
      <c r="L68" s="419">
        <f>IF(C68=0,0,(C68*(1+'Infos FoFö'!$C$65+'Infos FoFö'!$C$67)+'Infos FoFö'!$C$68+'Infos FoFö'!$C$69)*(1+$J68/12))</f>
        <v>4483.9681323526256</v>
      </c>
      <c r="M68" s="414">
        <f>IF(D68=0,0,(D68*(1+'Infos FoFö'!$C$65+'Infos FoFö'!$C$67)+'Infos FoFö'!$C$68+'Infos FoFö'!$C$69)*(1+$K68/12))</f>
        <v>4600.0942839742502</v>
      </c>
      <c r="N68" s="414">
        <f>IF(E68=0,0,(E68*(1+'Infos FoFö'!$C$65+'Infos FoFö'!$C$67)+'Infos FoFö'!$C$68+'Infos FoFö'!$C$69)*(1+$K68/12))</f>
        <v>4705.2138317106574</v>
      </c>
      <c r="O68" s="414">
        <f>IF(F68=0,0,(F68*(1+'Infos FoFö'!$C$65+'Infos FoFö'!$C$67)+'Infos FoFö'!$C$68+'Infos FoFö'!$C$69)*(1+$K68/12))</f>
        <v>4812.751129045002</v>
      </c>
      <c r="P68" s="414">
        <f>IF(G68=0,0,(G68*(1+'Infos FoFö'!$C$65+'Infos FoFö'!$C$67)+'Infos FoFö'!$C$68+'Infos FoFö'!$C$69)*(1+$K68/12))</f>
        <v>4922.7617842180371</v>
      </c>
      <c r="Q68" s="414">
        <f>IF(H68=0,0,(H68*(1+'Infos FoFö'!$C$65+'Infos FoFö'!$C$67)+'Infos FoFö'!$C$68+'Infos FoFö'!$C$69)*(1+$K68/12))</f>
        <v>5035.3026844600508</v>
      </c>
      <c r="R68" s="414">
        <f>IF(I68=0,0,(I68*(1+'Infos FoFö'!$C$65+'Infos FoFö'!$C$67)+'Infos FoFö'!$C$68+'Infos FoFö'!$C$69)*(1+$K68/12))</f>
        <v>5150.432025407631</v>
      </c>
      <c r="S68" s="422">
        <f t="shared" si="61"/>
        <v>3.6100946837448265E-2</v>
      </c>
    </row>
    <row r="69" spans="1:19" x14ac:dyDescent="0.35">
      <c r="A69" s="76" t="s">
        <v>82</v>
      </c>
      <c r="B69" s="20">
        <v>2</v>
      </c>
      <c r="C69" s="85">
        <v>3087.04</v>
      </c>
      <c r="D69" s="77">
        <v>3173.48</v>
      </c>
      <c r="E69" s="414">
        <f t="shared" ref="E69:I69" si="68">D69*(1+E$3)</f>
        <v>3246.4700399999997</v>
      </c>
      <c r="F69" s="414">
        <f t="shared" si="68"/>
        <v>3321.1388509199992</v>
      </c>
      <c r="G69" s="414">
        <f t="shared" si="68"/>
        <v>3397.525044491159</v>
      </c>
      <c r="H69" s="414">
        <f t="shared" si="68"/>
        <v>3475.6681205144555</v>
      </c>
      <c r="I69" s="415">
        <f t="shared" si="68"/>
        <v>3555.6084872862875</v>
      </c>
      <c r="J69" s="78">
        <v>0.88139999999999996</v>
      </c>
      <c r="K69" s="78">
        <v>0.85740000000000005</v>
      </c>
      <c r="L69" s="419">
        <f>IF(C69=0,0,(C69*(1+'Infos FoFö'!$C$65+'Infos FoFö'!$C$67)+'Infos FoFö'!$C$68+'Infos FoFö'!$C$69)*(1+$J69/12))</f>
        <v>4313.6276520120009</v>
      </c>
      <c r="M69" s="414">
        <f>IF(D69=0,0,(D69*(1+'Infos FoFö'!$C$65+'Infos FoFö'!$C$67)+'Infos FoFö'!$C$68+'Infos FoFö'!$C$69)*(1+$K69/12))</f>
        <v>4425.3202224915003</v>
      </c>
      <c r="N69" s="414">
        <f>IF(E69=0,0,(E69*(1+'Infos FoFö'!$C$65+'Infos FoFö'!$C$67)+'Infos FoFö'!$C$68+'Infos FoFö'!$C$69)*(1+$K69/12))</f>
        <v>4526.4199668138044</v>
      </c>
      <c r="O69" s="414">
        <f>IF(F69=0,0,(F69*(1+'Infos FoFö'!$C$65+'Infos FoFö'!$C$67)+'Infos FoFö'!$C$68+'Infos FoFö'!$C$69)*(1+$K69/12))</f>
        <v>4629.8450052555208</v>
      </c>
      <c r="P69" s="414">
        <f>IF(G69=0,0,(G69*(1+'Infos FoFö'!$C$65+'Infos FoFö'!$C$67)+'Infos FoFö'!$C$68+'Infos FoFö'!$C$69)*(1+$K69/12))</f>
        <v>4735.6488195813981</v>
      </c>
      <c r="Q69" s="414">
        <f>IF(H69=0,0,(H69*(1+'Infos FoFö'!$C$65+'Infos FoFö'!$C$67)+'Infos FoFö'!$C$68+'Infos FoFö'!$C$69)*(1+$K69/12))</f>
        <v>4843.8861216367704</v>
      </c>
      <c r="R69" s="414">
        <f>IF(I69=0,0,(I69*(1+'Infos FoFö'!$C$65+'Infos FoFö'!$C$67)+'Infos FoFö'!$C$68+'Infos FoFö'!$C$69)*(1+$K69/12))</f>
        <v>4954.6128816394148</v>
      </c>
      <c r="S69" s="422">
        <f t="shared" si="61"/>
        <v>3.9488916077671417E-2</v>
      </c>
    </row>
    <row r="70" spans="1:19" ht="15" thickBot="1" x14ac:dyDescent="0.4">
      <c r="A70" s="76" t="s">
        <v>82</v>
      </c>
      <c r="B70" s="20">
        <v>1</v>
      </c>
      <c r="C70" s="85">
        <v>2866.21</v>
      </c>
      <c r="D70" s="77">
        <v>2946.46</v>
      </c>
      <c r="E70" s="414">
        <f t="shared" ref="E70:I70" si="69">D70*(1+E$3)</f>
        <v>3014.22858</v>
      </c>
      <c r="F70" s="414">
        <f t="shared" si="69"/>
        <v>3083.5558373399995</v>
      </c>
      <c r="G70" s="414">
        <f t="shared" si="69"/>
        <v>3154.477621598819</v>
      </c>
      <c r="H70" s="414">
        <f t="shared" si="69"/>
        <v>3227.0306068955915</v>
      </c>
      <c r="I70" s="415">
        <f t="shared" si="69"/>
        <v>3301.25231085419</v>
      </c>
      <c r="J70" s="78">
        <v>0.88139999999999996</v>
      </c>
      <c r="K70" s="78">
        <v>0.85740000000000005</v>
      </c>
      <c r="L70" s="419">
        <f>IF(C70=0,0,(C70*(1+'Infos FoFö'!$C$65+'Infos FoFö'!$C$67)+'Infos FoFö'!$C$68+'Infos FoFö'!$C$69)*(1+$J70/12))</f>
        <v>4007.1813116973758</v>
      </c>
      <c r="M70" s="414">
        <f>IF(D70=0,0,(D70*(1+'Infos FoFö'!$C$65+'Infos FoFö'!$C$67)+'Infos FoFö'!$C$68+'Infos FoFö'!$C$69)*(1+$K70/12))</f>
        <v>4110.8709639892504</v>
      </c>
      <c r="N70" s="414">
        <f>IF(E70=0,0,(E70*(1+'Infos FoFö'!$C$65+'Infos FoFö'!$C$67)+'Infos FoFö'!$C$68+'Infos FoFö'!$C$69)*(1+$K70/12))</f>
        <v>4204.7383753660033</v>
      </c>
      <c r="O70" s="414">
        <f>IF(F70=0,0,(F70*(1+'Infos FoFö'!$C$65+'Infos FoFö'!$C$67)+'Infos FoFö'!$C$68+'Infos FoFö'!$C$69)*(1+$K70/12))</f>
        <v>4300.7647372044212</v>
      </c>
      <c r="P70" s="414">
        <f>IF(G70=0,0,(G70*(1+'Infos FoFö'!$C$65+'Infos FoFö'!$C$67)+'Infos FoFö'!$C$68+'Infos FoFö'!$C$69)*(1+$K70/12))</f>
        <v>4398.9997053651214</v>
      </c>
      <c r="Q70" s="414">
        <f>IF(H70=0,0,(H70*(1+'Infos FoFö'!$C$65+'Infos FoFö'!$C$67)+'Infos FoFö'!$C$68+'Infos FoFö'!$C$69)*(1+$K70/12))</f>
        <v>4499.494077793519</v>
      </c>
      <c r="R70" s="414">
        <f>IF(I70=0,0,(I70*(1+'Infos FoFö'!$C$65+'Infos FoFö'!$C$67)+'Infos FoFö'!$C$68+'Infos FoFö'!$C$69)*(1+$K70/12))</f>
        <v>4602.299820787769</v>
      </c>
      <c r="S70" s="422">
        <f t="shared" si="61"/>
        <v>7.6474288652743666E-2</v>
      </c>
    </row>
    <row r="71" spans="1:19" x14ac:dyDescent="0.35">
      <c r="A71" s="87" t="s">
        <v>83</v>
      </c>
      <c r="B71" s="88">
        <v>6</v>
      </c>
      <c r="C71" s="89">
        <v>3381.67</v>
      </c>
      <c r="D71" s="90">
        <v>3476.36</v>
      </c>
      <c r="E71" s="412">
        <f t="shared" ref="E71:I71" si="70">D71*(1+E$3)</f>
        <v>3556.31628</v>
      </c>
      <c r="F71" s="412">
        <f t="shared" si="70"/>
        <v>3638.1115544399995</v>
      </c>
      <c r="G71" s="412">
        <f t="shared" si="70"/>
        <v>3721.7881201921191</v>
      </c>
      <c r="H71" s="412">
        <f t="shared" si="70"/>
        <v>3807.3892469565376</v>
      </c>
      <c r="I71" s="413">
        <f t="shared" si="70"/>
        <v>3894.9591996365375</v>
      </c>
      <c r="J71" s="91">
        <v>0.88139999999999996</v>
      </c>
      <c r="K71" s="91">
        <v>0.85740000000000005</v>
      </c>
      <c r="L71" s="418">
        <f>IF(C71=0,0,(C71*(1+'Infos FoFö'!$C$65+'Infos FoFö'!$C$67)+'Infos FoFö'!$C$68+'Infos FoFö'!$C$69)*(1+$J71/12))</f>
        <v>4722.4864359041258</v>
      </c>
      <c r="M71" s="412">
        <f>IF(D71=0,0,(D71*(1+'Infos FoFö'!$C$65+'Infos FoFö'!$C$67)+'Infos FoFö'!$C$68+'Infos FoFö'!$C$69)*(1+$K71/12))</f>
        <v>4844.8444556655004</v>
      </c>
      <c r="N71" s="412">
        <f>IF(E71=0,0,(E71*(1+'Infos FoFö'!$C$65+'Infos FoFö'!$C$67)+'Infos FoFö'!$C$68+'Infos FoFö'!$C$69)*(1+$K71/12))</f>
        <v>4955.5932573508062</v>
      </c>
      <c r="O71" s="412">
        <f>IF(F71=0,0,(F71*(1+'Infos FoFö'!$C$65+'Infos FoFö'!$C$67)+'Infos FoFö'!$C$68+'Infos FoFö'!$C$69)*(1+$K71/12))</f>
        <v>5068.8892814748751</v>
      </c>
      <c r="P71" s="412">
        <f>IF(G71=0,0,(G71*(1+'Infos FoFö'!$C$65+'Infos FoFö'!$C$67)+'Infos FoFö'!$C$68+'Infos FoFö'!$C$69)*(1+$K71/12))</f>
        <v>5184.7911141537961</v>
      </c>
      <c r="Q71" s="412">
        <f>IF(H71=0,0,(H71*(1+'Infos FoFö'!$C$65+'Infos FoFö'!$C$67)+'Infos FoFö'!$C$68+'Infos FoFö'!$C$69)*(1+$K71/12))</f>
        <v>5303.3586889843336</v>
      </c>
      <c r="R71" s="412">
        <f>IF(I71=0,0,(I71*(1+'Infos FoFö'!$C$65+'Infos FoFö'!$C$67)+'Infos FoFö'!$C$68+'Infos FoFö'!$C$69)*(1+$K71/12))</f>
        <v>5424.653318035972</v>
      </c>
      <c r="S71" s="421">
        <f t="shared" si="61"/>
        <v>0</v>
      </c>
    </row>
    <row r="72" spans="1:19" x14ac:dyDescent="0.35">
      <c r="A72" s="76" t="s">
        <v>83</v>
      </c>
      <c r="B72" s="20">
        <v>5</v>
      </c>
      <c r="C72" s="85">
        <v>3295.75</v>
      </c>
      <c r="D72" s="77">
        <v>3388.03</v>
      </c>
      <c r="E72" s="414">
        <f t="shared" ref="E72:I72" si="71">D72*(1+E$3)</f>
        <v>3465.95469</v>
      </c>
      <c r="F72" s="414">
        <f t="shared" si="71"/>
        <v>3545.6716478699996</v>
      </c>
      <c r="G72" s="414">
        <f t="shared" si="71"/>
        <v>3627.2220957710092</v>
      </c>
      <c r="H72" s="414">
        <f t="shared" si="71"/>
        <v>3710.6482039737421</v>
      </c>
      <c r="I72" s="415">
        <f t="shared" si="71"/>
        <v>3795.9931126651377</v>
      </c>
      <c r="J72" s="78">
        <v>0.88139999999999996</v>
      </c>
      <c r="K72" s="78">
        <v>0.85740000000000005</v>
      </c>
      <c r="L72" s="419">
        <f>IF(C72=0,0,(C72*(1+'Infos FoFö'!$C$65+'Infos FoFö'!$C$67)+'Infos FoFö'!$C$68+'Infos FoFö'!$C$69)*(1+$J72/12))</f>
        <v>4603.2550381781248</v>
      </c>
      <c r="M72" s="414">
        <f>IF(D72=0,0,(D72*(1+'Infos FoFö'!$C$65+'Infos FoFö'!$C$67)+'Infos FoFö'!$C$68+'Infos FoFö'!$C$69)*(1+$K72/12))</f>
        <v>4722.4970721596255</v>
      </c>
      <c r="N72" s="414">
        <f>IF(E72=0,0,(E72*(1+'Infos FoFö'!$C$65+'Infos FoFö'!$C$67)+'Infos FoFö'!$C$68+'Infos FoFö'!$C$69)*(1+$K72/12))</f>
        <v>4830.4318840242968</v>
      </c>
      <c r="O72" s="414">
        <f>IF(F72=0,0,(F72*(1+'Infos FoFö'!$C$65+'Infos FoFö'!$C$67)+'Infos FoFö'!$C$68+'Infos FoFö'!$C$69)*(1+$K72/12))</f>
        <v>4940.849196561855</v>
      </c>
      <c r="P72" s="414">
        <f>IF(G72=0,0,(G72*(1+'Infos FoFö'!$C$65+'Infos FoFö'!$C$67)+'Infos FoFö'!$C$68+'Infos FoFö'!$C$69)*(1+$K72/12))</f>
        <v>5053.8061072877763</v>
      </c>
      <c r="Q72" s="414">
        <f>IF(H72=0,0,(H72*(1+'Infos FoFö'!$C$65+'Infos FoFö'!$C$67)+'Infos FoFö'!$C$68+'Infos FoFö'!$C$69)*(1+$K72/12))</f>
        <v>5169.361026960396</v>
      </c>
      <c r="R72" s="414">
        <f>IF(I72=0,0,(I72*(1+'Infos FoFö'!$C$65+'Infos FoFö'!$C$67)+'Infos FoFö'!$C$68+'Infos FoFö'!$C$69)*(1+$K72/12))</f>
        <v>5287.5737097854835</v>
      </c>
      <c r="S72" s="422">
        <f t="shared" si="61"/>
        <v>2.5901540700467109E-2</v>
      </c>
    </row>
    <row r="73" spans="1:19" x14ac:dyDescent="0.35">
      <c r="A73" s="76" t="s">
        <v>83</v>
      </c>
      <c r="B73" s="20">
        <v>4</v>
      </c>
      <c r="C73" s="85">
        <v>3197.52</v>
      </c>
      <c r="D73" s="77">
        <v>3287.05</v>
      </c>
      <c r="E73" s="414">
        <f t="shared" ref="E73:I73" si="72">D73*(1+E$3)</f>
        <v>3362.6521499999999</v>
      </c>
      <c r="F73" s="414">
        <f t="shared" si="72"/>
        <v>3439.9931494499997</v>
      </c>
      <c r="G73" s="414">
        <f t="shared" si="72"/>
        <v>3519.1129918873494</v>
      </c>
      <c r="H73" s="414">
        <f t="shared" si="72"/>
        <v>3600.0525907007582</v>
      </c>
      <c r="I73" s="415">
        <f t="shared" si="72"/>
        <v>3682.8538002868754</v>
      </c>
      <c r="J73" s="78">
        <v>0.88139999999999996</v>
      </c>
      <c r="K73" s="78">
        <v>0.85740000000000005</v>
      </c>
      <c r="L73" s="419">
        <f>IF(C73=0,0,(C73*(1+'Infos FoFö'!$C$65+'Infos FoFö'!$C$67)+'Infos FoFö'!$C$68+'Infos FoFö'!$C$69)*(1+$J73/12))</f>
        <v>4466.9410228310007</v>
      </c>
      <c r="M73" s="414">
        <f>IF(D73=0,0,(D73*(1+'Infos FoFö'!$C$65+'Infos FoFö'!$C$67)+'Infos FoFö'!$C$68+'Infos FoFö'!$C$69)*(1+$K73/12))</f>
        <v>4582.6279587618756</v>
      </c>
      <c r="N73" s="414">
        <f>IF(E73=0,0,(E73*(1+'Infos FoFö'!$C$65+'Infos FoFö'!$C$67)+'Infos FoFö'!$C$68+'Infos FoFö'!$C$69)*(1+$K73/12))</f>
        <v>4687.3457810183982</v>
      </c>
      <c r="O73" s="414">
        <f>IF(F73=0,0,(F73*(1+'Infos FoFö'!$C$65+'Infos FoFö'!$C$67)+'Infos FoFö'!$C$68+'Infos FoFö'!$C$69)*(1+$K73/12))</f>
        <v>4794.4721131868209</v>
      </c>
      <c r="P73" s="414">
        <f>IF(G73=0,0,(G73*(1+'Infos FoFö'!$C$65+'Infos FoFö'!$C$67)+'Infos FoFö'!$C$68+'Infos FoFö'!$C$69)*(1+$K73/12))</f>
        <v>4904.0623509951174</v>
      </c>
      <c r="Q73" s="414">
        <f>IF(H73=0,0,(H73*(1+'Infos FoFö'!$C$65+'Infos FoFö'!$C$67)+'Infos FoFö'!$C$68+'Infos FoFö'!$C$69)*(1+$K73/12))</f>
        <v>5016.1731642730047</v>
      </c>
      <c r="R73" s="414">
        <f>IF(I73=0,0,(I73*(1+'Infos FoFö'!$C$65+'Infos FoFö'!$C$67)+'Infos FoFö'!$C$68+'Infos FoFö'!$C$69)*(1+$K73/12))</f>
        <v>5130.8625262562837</v>
      </c>
      <c r="S73" s="422">
        <f t="shared" si="61"/>
        <v>3.0516188740887535E-2</v>
      </c>
    </row>
    <row r="74" spans="1:19" x14ac:dyDescent="0.35">
      <c r="A74" s="76" t="s">
        <v>83</v>
      </c>
      <c r="B74" s="20">
        <v>3</v>
      </c>
      <c r="C74" s="85">
        <v>3074.75</v>
      </c>
      <c r="D74" s="77">
        <v>3160.84</v>
      </c>
      <c r="E74" s="414">
        <f t="shared" ref="E74:I74" si="73">D74*(1+E$3)</f>
        <v>3233.5393199999999</v>
      </c>
      <c r="F74" s="414">
        <f t="shared" si="73"/>
        <v>3307.9107243599997</v>
      </c>
      <c r="G74" s="414">
        <f t="shared" si="73"/>
        <v>3383.9926710202794</v>
      </c>
      <c r="H74" s="414">
        <f t="shared" si="73"/>
        <v>3461.8245024537455</v>
      </c>
      <c r="I74" s="415">
        <f t="shared" si="73"/>
        <v>3541.4464660101812</v>
      </c>
      <c r="J74" s="78">
        <v>0.88139999999999996</v>
      </c>
      <c r="K74" s="78">
        <v>0.85740000000000005</v>
      </c>
      <c r="L74" s="419">
        <f>IF(C74=0,0,(C74*(1+'Infos FoFö'!$C$65+'Infos FoFö'!$C$67)+'Infos FoFö'!$C$68+'Infos FoFö'!$C$69)*(1+$J74/12))</f>
        <v>4296.5727884406251</v>
      </c>
      <c r="M74" s="414">
        <f>IF(D74=0,0,(D74*(1+'Infos FoFö'!$C$65+'Infos FoFö'!$C$67)+'Infos FoFö'!$C$68+'Infos FoFö'!$C$69)*(1+$K74/12))</f>
        <v>4407.8123437695003</v>
      </c>
      <c r="N74" s="414">
        <f>IF(E74=0,0,(E74*(1+'Infos FoFö'!$C$65+'Infos FoFö'!$C$67)+'Infos FoFö'!$C$68+'Infos FoFö'!$C$69)*(1+$K74/12))</f>
        <v>4508.5094068811986</v>
      </c>
      <c r="O74" s="414">
        <f>IF(F74=0,0,(F74*(1+'Infos FoFö'!$C$65+'Infos FoFö'!$C$67)+'Infos FoFö'!$C$68+'Infos FoFö'!$C$69)*(1+$K74/12))</f>
        <v>4611.5225024444653</v>
      </c>
      <c r="P74" s="414">
        <f>IF(G74=0,0,(G74*(1+'Infos FoFö'!$C$65+'Infos FoFö'!$C$67)+'Infos FoFö'!$C$68+'Infos FoFö'!$C$69)*(1+$K74/12))</f>
        <v>4716.9048992056878</v>
      </c>
      <c r="Q74" s="414">
        <f>IF(H74=0,0,(H74*(1+'Infos FoFö'!$C$65+'Infos FoFö'!$C$67)+'Infos FoFö'!$C$68+'Infos FoFö'!$C$69)*(1+$K74/12))</f>
        <v>4824.7110910924184</v>
      </c>
      <c r="R74" s="414">
        <f>IF(I74=0,0,(I74*(1+'Infos FoFö'!$C$65+'Infos FoFö'!$C$67)+'Infos FoFö'!$C$68+'Infos FoFö'!$C$69)*(1+$K74/12))</f>
        <v>4934.9968253925435</v>
      </c>
      <c r="S74" s="422">
        <f t="shared" si="61"/>
        <v>3.965212339675226E-2</v>
      </c>
    </row>
    <row r="75" spans="1:19" x14ac:dyDescent="0.35">
      <c r="A75" s="76" t="s">
        <v>83</v>
      </c>
      <c r="B75" s="20">
        <v>2</v>
      </c>
      <c r="C75" s="85">
        <v>2912.5</v>
      </c>
      <c r="D75" s="77">
        <v>2994.05</v>
      </c>
      <c r="E75" s="414">
        <f t="shared" ref="E75:I75" si="74">D75*(1+E$3)</f>
        <v>3062.9131499999999</v>
      </c>
      <c r="F75" s="414">
        <f t="shared" si="74"/>
        <v>3133.3601524499995</v>
      </c>
      <c r="G75" s="414">
        <f t="shared" si="74"/>
        <v>3205.4274359563492</v>
      </c>
      <c r="H75" s="414">
        <f t="shared" si="74"/>
        <v>3279.1522669833448</v>
      </c>
      <c r="I75" s="415">
        <f t="shared" si="74"/>
        <v>3354.5727691239613</v>
      </c>
      <c r="J75" s="78">
        <v>0.88139999999999996</v>
      </c>
      <c r="K75" s="78">
        <v>0.85740000000000005</v>
      </c>
      <c r="L75" s="419">
        <f>IF(C75=0,0,(C75*(1+'Infos FoFö'!$C$65+'Infos FoFö'!$C$67)+'Infos FoFö'!$C$68+'Infos FoFö'!$C$69)*(1+$J75/12))</f>
        <v>4071.4180598437506</v>
      </c>
      <c r="M75" s="414">
        <f>IF(D75=0,0,(D75*(1+'Infos FoFö'!$C$65+'Infos FoFö'!$C$67)+'Infos FoFö'!$C$68+'Infos FoFö'!$C$69)*(1+$K75/12))</f>
        <v>4176.7886814243757</v>
      </c>
      <c r="N75" s="414">
        <f>IF(E75=0,0,(E75*(1+'Infos FoFö'!$C$65+'Infos FoFö'!$C$67)+'Infos FoFö'!$C$68+'Infos FoFö'!$C$69)*(1+$K75/12))</f>
        <v>4272.1722003021359</v>
      </c>
      <c r="O75" s="414">
        <f>IF(F75=0,0,(F75*(1+'Infos FoFö'!$C$65+'Infos FoFö'!$C$67)+'Infos FoFö'!$C$68+'Infos FoFö'!$C$69)*(1+$K75/12))</f>
        <v>4369.749540114085</v>
      </c>
      <c r="P75" s="414">
        <f>IF(G75=0,0,(G75*(1+'Infos FoFö'!$C$65+'Infos FoFö'!$C$67)+'Infos FoFö'!$C$68+'Infos FoFö'!$C$69)*(1+$K75/12))</f>
        <v>4469.5711587417072</v>
      </c>
      <c r="Q75" s="414">
        <f>IF(H75=0,0,(H75*(1+'Infos FoFö'!$C$65+'Infos FoFö'!$C$67)+'Infos FoFö'!$C$68+'Infos FoFö'!$C$69)*(1+$K75/12))</f>
        <v>4571.6886745977663</v>
      </c>
      <c r="R75" s="414">
        <f>IF(I75=0,0,(I75*(1+'Infos FoFö'!$C$65+'Infos FoFö'!$C$67)+'Infos FoFö'!$C$68+'Infos FoFö'!$C$69)*(1+$K75/12))</f>
        <v>4676.154893318514</v>
      </c>
      <c r="S75" s="422">
        <f t="shared" si="61"/>
        <v>5.5301304186265589E-2</v>
      </c>
    </row>
    <row r="76" spans="1:19" ht="15" thickBot="1" x14ac:dyDescent="0.4">
      <c r="A76" s="79" t="s">
        <v>83</v>
      </c>
      <c r="B76" s="80">
        <v>1</v>
      </c>
      <c r="C76" s="86">
        <v>2696.84</v>
      </c>
      <c r="D76" s="81">
        <v>2772.35</v>
      </c>
      <c r="E76" s="416">
        <f t="shared" ref="E76:I76" si="75">D76*(1+E$3)</f>
        <v>2836.1140499999997</v>
      </c>
      <c r="F76" s="416">
        <f t="shared" si="75"/>
        <v>2901.3446731499994</v>
      </c>
      <c r="G76" s="416">
        <f t="shared" si="75"/>
        <v>2968.0756006324491</v>
      </c>
      <c r="H76" s="416">
        <f t="shared" si="75"/>
        <v>3036.3413394469953</v>
      </c>
      <c r="I76" s="417">
        <f t="shared" si="75"/>
        <v>3106.177190254276</v>
      </c>
      <c r="J76" s="82">
        <v>0.88139999999999996</v>
      </c>
      <c r="K76" s="82">
        <v>0.85740000000000005</v>
      </c>
      <c r="L76" s="420">
        <f>IF(C76=0,0,(C76*(1+'Infos FoFö'!$C$65+'Infos FoFö'!$C$67)+'Infos FoFö'!$C$68+'Infos FoFö'!$C$69)*(1+$J76/12))</f>
        <v>3772.1461413895004</v>
      </c>
      <c r="M76" s="416">
        <f>IF(D76=0,0,(D76*(1+'Infos FoFö'!$C$65+'Infos FoFö'!$C$67)+'Infos FoFö'!$C$68+'Infos FoFö'!$C$69)*(1+$K76/12))</f>
        <v>3869.7082452956256</v>
      </c>
      <c r="N76" s="416">
        <f>IF(E76=0,0,(E76*(1+'Infos FoFö'!$C$65+'Infos FoFö'!$C$67)+'Infos FoFö'!$C$68+'Infos FoFö'!$C$69)*(1+$K76/12))</f>
        <v>3958.0289141424246</v>
      </c>
      <c r="O76" s="416">
        <f>IF(F76=0,0,(F76*(1+'Infos FoFö'!$C$65+'Infos FoFö'!$C$67)+'Infos FoFö'!$C$68+'Infos FoFö'!$C$69)*(1+$K76/12))</f>
        <v>4048.3809583726998</v>
      </c>
      <c r="P76" s="416">
        <f>IF(G76=0,0,(G76*(1+'Infos FoFö'!$C$65+'Infos FoFö'!$C$67)+'Infos FoFö'!$C$68+'Infos FoFö'!$C$69)*(1+$K76/12))</f>
        <v>4140.8110996202713</v>
      </c>
      <c r="Q76" s="416">
        <f>IF(H76=0,0,(H76*(1+'Infos FoFö'!$C$65+'Infos FoFö'!$C$67)+'Infos FoFö'!$C$68+'Infos FoFö'!$C$69)*(1+$K76/12))</f>
        <v>4235.3671341165382</v>
      </c>
      <c r="R76" s="416">
        <f>IF(I76=0,0,(I76*(1+'Infos FoFö'!$C$65+'Infos FoFö'!$C$67)+'Infos FoFö'!$C$68+'Infos FoFö'!$C$69)*(1+$K76/12))</f>
        <v>4332.0979574062176</v>
      </c>
      <c r="S76" s="423">
        <f t="shared" si="61"/>
        <v>7.9337307526481729E-2</v>
      </c>
    </row>
    <row r="77" spans="1:19" x14ac:dyDescent="0.35">
      <c r="A77" s="76" t="s">
        <v>84</v>
      </c>
      <c r="B77" s="20">
        <v>6</v>
      </c>
      <c r="C77" s="85">
        <v>3271.18</v>
      </c>
      <c r="D77" s="77">
        <v>3362.77</v>
      </c>
      <c r="E77" s="414">
        <f t="shared" ref="E77:I77" si="76">D77*(1+E$3)</f>
        <v>3440.1137099999996</v>
      </c>
      <c r="F77" s="414">
        <f t="shared" si="76"/>
        <v>3519.2363253299991</v>
      </c>
      <c r="G77" s="414">
        <f t="shared" si="76"/>
        <v>3600.1787608125887</v>
      </c>
      <c r="H77" s="414">
        <f t="shared" si="76"/>
        <v>3682.9828723112778</v>
      </c>
      <c r="I77" s="415">
        <f t="shared" si="76"/>
        <v>3767.6914783744369</v>
      </c>
      <c r="J77" s="78">
        <v>0.88139999999999996</v>
      </c>
      <c r="K77" s="78">
        <v>0.85740000000000005</v>
      </c>
      <c r="L77" s="419">
        <f>IF(C77=0,0,(C77*(1+'Infos FoFö'!$C$65+'Infos FoFö'!$C$67)+'Infos FoFö'!$C$68+'Infos FoFö'!$C$69)*(1+$J77/12))</f>
        <v>4569.15918806025</v>
      </c>
      <c r="M77" s="414">
        <f>IF(D77=0,0,(D77*(1+'Infos FoFö'!$C$65+'Infos FoFö'!$C$67)+'Infos FoFö'!$C$68+'Infos FoFö'!$C$69)*(1+$K77/12))</f>
        <v>4687.5090170553749</v>
      </c>
      <c r="N77" s="414">
        <f>IF(E77=0,0,(E77*(1+'Infos FoFö'!$C$65+'Infos FoFö'!$C$67)+'Infos FoFö'!$C$68+'Infos FoFö'!$C$69)*(1+$K77/12))</f>
        <v>4794.6391036526484</v>
      </c>
      <c r="O77" s="414">
        <f>IF(F77=0,0,(F77*(1+'Infos FoFö'!$C$65+'Infos FoFö'!$C$67)+'Infos FoFö'!$C$68+'Infos FoFö'!$C$69)*(1+$K77/12))</f>
        <v>4904.2331822416581</v>
      </c>
      <c r="P77" s="414">
        <f>IF(G77=0,0,(G77*(1+'Infos FoFö'!$C$65+'Infos FoFö'!$C$67)+'Infos FoFö'!$C$68+'Infos FoFö'!$C$69)*(1+$K77/12))</f>
        <v>5016.3479246382158</v>
      </c>
      <c r="Q77" s="414">
        <f>IF(H77=0,0,(H77*(1+'Infos FoFö'!$C$65+'Infos FoFö'!$C$67)+'Infos FoFö'!$C$68+'Infos FoFö'!$C$69)*(1+$K77/12))</f>
        <v>5131.0413061098943</v>
      </c>
      <c r="R77" s="414">
        <f>IF(I77=0,0,(I77*(1+'Infos FoFö'!$C$65+'Infos FoFö'!$C$67)+'Infos FoFö'!$C$68+'Infos FoFö'!$C$69)*(1+$K77/12))</f>
        <v>5248.3726353554221</v>
      </c>
      <c r="S77" s="422">
        <f t="shared" si="61"/>
        <v>0</v>
      </c>
    </row>
    <row r="78" spans="1:19" x14ac:dyDescent="0.35">
      <c r="A78" s="76" t="s">
        <v>84</v>
      </c>
      <c r="B78" s="20">
        <v>5</v>
      </c>
      <c r="C78" s="85">
        <v>3185.24</v>
      </c>
      <c r="D78" s="77">
        <v>3274.43</v>
      </c>
      <c r="E78" s="414">
        <f t="shared" ref="E78:I78" si="77">D78*(1+E$3)</f>
        <v>3349.7418899999993</v>
      </c>
      <c r="F78" s="414">
        <f t="shared" si="77"/>
        <v>3426.7859534699992</v>
      </c>
      <c r="G78" s="414">
        <f t="shared" si="77"/>
        <v>3505.6020303998089</v>
      </c>
      <c r="H78" s="414">
        <f t="shared" si="77"/>
        <v>3586.2308770990044</v>
      </c>
      <c r="I78" s="415">
        <f t="shared" si="77"/>
        <v>3668.7141872722809</v>
      </c>
      <c r="J78" s="78">
        <v>0.88139999999999996</v>
      </c>
      <c r="K78" s="78">
        <v>0.85740000000000005</v>
      </c>
      <c r="L78" s="419">
        <f>IF(C78=0,0,(C78*(1+'Infos FoFö'!$C$65+'Infos FoFö'!$C$67)+'Infos FoFö'!$C$68+'Infos FoFö'!$C$69)*(1+$J78/12))</f>
        <v>4449.9000362844999</v>
      </c>
      <c r="M78" s="414">
        <f>IF(D78=0,0,(D78*(1+'Infos FoFö'!$C$65+'Infos FoFö'!$C$67)+'Infos FoFö'!$C$68+'Infos FoFö'!$C$69)*(1+$K78/12))</f>
        <v>4565.1477823796249</v>
      </c>
      <c r="N78" s="414">
        <f>IF(E78=0,0,(E78*(1+'Infos FoFö'!$C$65+'Infos FoFö'!$C$67)+'Infos FoFö'!$C$68+'Infos FoFö'!$C$69)*(1+$K78/12))</f>
        <v>4669.4635605793555</v>
      </c>
      <c r="O78" s="414">
        <f>IF(F78=0,0,(F78*(1+'Infos FoFö'!$C$65+'Infos FoFö'!$C$67)+'Infos FoFö'!$C$68+'Infos FoFö'!$C$69)*(1+$K78/12))</f>
        <v>4776.1786016776805</v>
      </c>
      <c r="P78" s="414">
        <f>IF(G78=0,0,(G78*(1+'Infos FoFö'!$C$65+'Infos FoFö'!$C$67)+'Infos FoFö'!$C$68+'Infos FoFö'!$C$69)*(1+$K78/12))</f>
        <v>4885.3480887212672</v>
      </c>
      <c r="Q78" s="414">
        <f>IF(H78=0,0,(H78*(1+'Infos FoFö'!$C$65+'Infos FoFö'!$C$67)+'Infos FoFö'!$C$68+'Infos FoFö'!$C$69)*(1+$K78/12))</f>
        <v>4997.0284739668559</v>
      </c>
      <c r="R78" s="414">
        <f>IF(I78=0,0,(I78*(1+'Infos FoFö'!$C$65+'Infos FoFö'!$C$67)+'Infos FoFö'!$C$68+'Infos FoFö'!$C$69)*(1+$K78/12))</f>
        <v>5111.2775080730926</v>
      </c>
      <c r="S78" s="422">
        <f t="shared" si="61"/>
        <v>2.6800411425719799E-2</v>
      </c>
    </row>
    <row r="79" spans="1:19" x14ac:dyDescent="0.35">
      <c r="A79" s="76" t="s">
        <v>84</v>
      </c>
      <c r="B79" s="20">
        <v>4</v>
      </c>
      <c r="C79" s="85">
        <v>3105.46</v>
      </c>
      <c r="D79" s="77">
        <v>3192.41</v>
      </c>
      <c r="E79" s="414">
        <f t="shared" ref="E79:I79" si="78">D79*(1+E$3)</f>
        <v>3265.8354299999996</v>
      </c>
      <c r="F79" s="414">
        <f t="shared" si="78"/>
        <v>3340.9496448899995</v>
      </c>
      <c r="G79" s="414">
        <f t="shared" si="78"/>
        <v>3417.791486722469</v>
      </c>
      <c r="H79" s="414">
        <f t="shared" si="78"/>
        <v>3496.4006909170853</v>
      </c>
      <c r="I79" s="415">
        <f t="shared" si="78"/>
        <v>3576.8179068081781</v>
      </c>
      <c r="J79" s="78">
        <v>0.88139999999999996</v>
      </c>
      <c r="K79" s="78">
        <v>0.85740000000000005</v>
      </c>
      <c r="L79" s="419">
        <f>IF(C79=0,0,(C79*(1+'Infos FoFö'!$C$65+'Infos FoFö'!$C$67)+'Infos FoFö'!$C$68+'Infos FoFö'!$C$69)*(1+$J79/12))</f>
        <v>4339.1891318317503</v>
      </c>
      <c r="M79" s="414">
        <f>IF(D79=0,0,(D79*(1+'Infos FoFö'!$C$65+'Infos FoFö'!$C$67)+'Infos FoFö'!$C$68+'Infos FoFö'!$C$69)*(1+$K79/12))</f>
        <v>4451.5404870648745</v>
      </c>
      <c r="N79" s="414">
        <f>IF(E79=0,0,(E79*(1+'Infos FoFö'!$C$65+'Infos FoFö'!$C$67)+'Infos FoFö'!$C$68+'Infos FoFö'!$C$69)*(1+$K79/12))</f>
        <v>4553.243297472367</v>
      </c>
      <c r="O79" s="414">
        <f>IF(F79=0,0,(F79*(1+'Infos FoFö'!$C$65+'Infos FoFö'!$C$67)+'Infos FoFö'!$C$68+'Infos FoFö'!$C$69)*(1+$K79/12))</f>
        <v>4657.2852725192306</v>
      </c>
      <c r="P79" s="414">
        <f>IF(G79=0,0,(G79*(1+'Infos FoFö'!$C$65+'Infos FoFö'!$C$67)+'Infos FoFö'!$C$68+'Infos FoFö'!$C$69)*(1+$K79/12))</f>
        <v>4763.7202129921725</v>
      </c>
      <c r="Q79" s="414">
        <f>IF(H79=0,0,(H79*(1+'Infos FoFö'!$C$65+'Infos FoFö'!$C$67)+'Infos FoFö'!$C$68+'Infos FoFö'!$C$69)*(1+$K79/12))</f>
        <v>4872.6031570959922</v>
      </c>
      <c r="R79" s="414">
        <f>IF(I79=0,0,(I79*(1+'Infos FoFö'!$C$65+'Infos FoFö'!$C$67)+'Infos FoFö'!$C$68+'Infos FoFö'!$C$69)*(1+$K79/12))</f>
        <v>4983.9904089141992</v>
      </c>
      <c r="S79" s="422">
        <f t="shared" si="61"/>
        <v>2.5514191958259734E-2</v>
      </c>
    </row>
    <row r="80" spans="1:19" x14ac:dyDescent="0.35">
      <c r="A80" s="76" t="s">
        <v>84</v>
      </c>
      <c r="B80" s="20">
        <v>3</v>
      </c>
      <c r="C80" s="85">
        <v>2983.94</v>
      </c>
      <c r="D80" s="77">
        <v>3067.49</v>
      </c>
      <c r="E80" s="414">
        <f t="shared" ref="E80:I80" si="79">D80*(1+E$3)</f>
        <v>3138.0422699999995</v>
      </c>
      <c r="F80" s="414">
        <f t="shared" si="79"/>
        <v>3210.2172422099993</v>
      </c>
      <c r="G80" s="414">
        <f t="shared" si="79"/>
        <v>3284.0522387808292</v>
      </c>
      <c r="H80" s="414">
        <f t="shared" si="79"/>
        <v>3359.5854402727878</v>
      </c>
      <c r="I80" s="415">
        <f t="shared" si="79"/>
        <v>3436.8559053990616</v>
      </c>
      <c r="J80" s="78">
        <v>0.88139999999999996</v>
      </c>
      <c r="K80" s="78">
        <v>0.85740000000000005</v>
      </c>
      <c r="L80" s="419">
        <f>IF(C80=0,0,(C80*(1+'Infos FoFö'!$C$65+'Infos FoFö'!$C$67)+'Infos FoFö'!$C$68+'Infos FoFö'!$C$69)*(1+$J80/12))</f>
        <v>4170.5555255507506</v>
      </c>
      <c r="M80" s="414">
        <f>IF(D80=0,0,(D80*(1+'Infos FoFö'!$C$65+'Infos FoFö'!$C$67)+'Infos FoFö'!$C$68+'Infos FoFö'!$C$69)*(1+$K80/12))</f>
        <v>4278.5116729863757</v>
      </c>
      <c r="N80" s="414">
        <f>IF(E80=0,0,(E80*(1+'Infos FoFö'!$C$65+'Infos FoFö'!$C$67)+'Infos FoFö'!$C$68+'Infos FoFö'!$C$69)*(1+$K80/12))</f>
        <v>4376.2348206700608</v>
      </c>
      <c r="O80" s="414">
        <f>IF(F80=0,0,(F80*(1+'Infos FoFö'!$C$65+'Infos FoFö'!$C$67)+'Infos FoFö'!$C$68+'Infos FoFö'!$C$69)*(1+$K80/12))</f>
        <v>4476.2056007504725</v>
      </c>
      <c r="P80" s="414">
        <f>IF(G80=0,0,(G80*(1+'Infos FoFö'!$C$65+'Infos FoFö'!$C$67)+'Infos FoFö'!$C$68+'Infos FoFö'!$C$69)*(1+$K80/12))</f>
        <v>4578.475708772733</v>
      </c>
      <c r="Q80" s="414">
        <f>IF(H80=0,0,(H80*(1+'Infos FoFö'!$C$65+'Infos FoFö'!$C$67)+'Infos FoFö'!$C$68+'Infos FoFö'!$C$69)*(1+$K80/12))</f>
        <v>4683.0980292795057</v>
      </c>
      <c r="R80" s="414">
        <f>IF(I80=0,0,(I80*(1+'Infos FoFö'!$C$65+'Infos FoFö'!$C$67)+'Infos FoFö'!$C$68+'Infos FoFö'!$C$69)*(1+$K80/12))</f>
        <v>4790.1266631579338</v>
      </c>
      <c r="S80" s="422">
        <f t="shared" si="61"/>
        <v>4.0434327093326589E-2</v>
      </c>
    </row>
    <row r="81" spans="1:19" x14ac:dyDescent="0.35">
      <c r="A81" s="76" t="s">
        <v>84</v>
      </c>
      <c r="B81" s="20">
        <v>2</v>
      </c>
      <c r="C81" s="85">
        <v>2864.88</v>
      </c>
      <c r="D81" s="77">
        <v>2945.1</v>
      </c>
      <c r="E81" s="414">
        <f t="shared" ref="E81:I81" si="80">D81*(1+E$3)</f>
        <v>3012.8372999999997</v>
      </c>
      <c r="F81" s="414">
        <f t="shared" si="80"/>
        <v>3082.1325578999995</v>
      </c>
      <c r="G81" s="414">
        <f t="shared" si="80"/>
        <v>3153.0216067316992</v>
      </c>
      <c r="H81" s="414">
        <f t="shared" si="80"/>
        <v>3225.541103686528</v>
      </c>
      <c r="I81" s="415">
        <f t="shared" si="80"/>
        <v>3299.728549071318</v>
      </c>
      <c r="J81" s="78">
        <v>0.88139999999999996</v>
      </c>
      <c r="K81" s="78">
        <v>0.85740000000000005</v>
      </c>
      <c r="L81" s="419">
        <f>IF(C81=0,0,(C81*(1+'Infos FoFö'!$C$65+'Infos FoFö'!$C$67)+'Infos FoFö'!$C$68+'Infos FoFö'!$C$69)*(1+$J81/12))</f>
        <v>4005.3356673890003</v>
      </c>
      <c r="M81" s="414">
        <f>IF(D81=0,0,(D81*(1+'Infos FoFö'!$C$65+'Infos FoFö'!$C$67)+'Infos FoFö'!$C$68+'Infos FoFö'!$C$69)*(1+$K81/12))</f>
        <v>4108.9872048862508</v>
      </c>
      <c r="N81" s="414">
        <f>IF(E81=0,0,(E81*(1+'Infos FoFö'!$C$65+'Infos FoFö'!$C$67)+'Infos FoFö'!$C$68+'Infos FoFö'!$C$69)*(1+$K81/12))</f>
        <v>4202.8112898036334</v>
      </c>
      <c r="O81" s="414">
        <f>IF(F81=0,0,(F81*(1+'Infos FoFö'!$C$65+'Infos FoFö'!$C$67)+'Infos FoFö'!$C$68+'Infos FoFö'!$C$69)*(1+$K81/12))</f>
        <v>4298.7933286741172</v>
      </c>
      <c r="P81" s="414">
        <f>IF(G81=0,0,(G81*(1+'Infos FoFö'!$C$65+'Infos FoFö'!$C$67)+'Infos FoFö'!$C$68+'Infos FoFö'!$C$69)*(1+$K81/12))</f>
        <v>4396.9829544386212</v>
      </c>
      <c r="Q81" s="414">
        <f>IF(H81=0,0,(H81*(1+'Infos FoFö'!$C$65+'Infos FoFö'!$C$67)+'Infos FoFö'!$C$68+'Infos FoFö'!$C$69)*(1+$K81/12))</f>
        <v>4497.4309415957096</v>
      </c>
      <c r="R81" s="414">
        <f>IF(I81=0,0,(I81*(1+'Infos FoFö'!$C$65+'Infos FoFö'!$C$67)+'Infos FoFö'!$C$68+'Infos FoFö'!$C$69)*(1+$K81/12))</f>
        <v>4600.1892324574101</v>
      </c>
      <c r="S81" s="422">
        <f t="shared" si="61"/>
        <v>4.1249940549790164E-2</v>
      </c>
    </row>
    <row r="82" spans="1:19" ht="15" thickBot="1" x14ac:dyDescent="0.4">
      <c r="A82" s="76" t="s">
        <v>84</v>
      </c>
      <c r="B82" s="20">
        <v>1</v>
      </c>
      <c r="C82" s="85">
        <v>2651.42</v>
      </c>
      <c r="D82" s="77">
        <v>2725.66</v>
      </c>
      <c r="E82" s="414">
        <f t="shared" ref="E82:I82" si="81">D82*(1+E$3)</f>
        <v>2788.3501799999995</v>
      </c>
      <c r="F82" s="414">
        <f t="shared" si="81"/>
        <v>2852.482234139999</v>
      </c>
      <c r="G82" s="414">
        <f t="shared" si="81"/>
        <v>2918.0893255252186</v>
      </c>
      <c r="H82" s="414">
        <f t="shared" si="81"/>
        <v>2985.2053800122985</v>
      </c>
      <c r="I82" s="415">
        <f t="shared" si="81"/>
        <v>3053.865103752581</v>
      </c>
      <c r="J82" s="78">
        <v>0.88139999999999996</v>
      </c>
      <c r="K82" s="78">
        <v>0.85740000000000005</v>
      </c>
      <c r="L82" s="419">
        <f>IF(C82=0,0,(C82*(1+'Infos FoFö'!$C$65+'Infos FoFö'!$C$67)+'Infos FoFö'!$C$68+'Infos FoFö'!$C$69)*(1+$J82/12))</f>
        <v>3709.1166944072506</v>
      </c>
      <c r="M82" s="414">
        <f>IF(D82=0,0,(D82*(1+'Infos FoFö'!$C$65+'Infos FoFö'!$C$67)+'Infos FoFö'!$C$68+'Infos FoFö'!$C$69)*(1+$K82/12))</f>
        <v>3805.0371331492506</v>
      </c>
      <c r="N82" s="414">
        <f>IF(E82=0,0,(E82*(1+'Infos FoFö'!$C$65+'Infos FoFö'!$C$67)+'Infos FoFö'!$C$68+'Infos FoFö'!$C$69)*(1+$K82/12))</f>
        <v>3891.8703664166828</v>
      </c>
      <c r="O82" s="414">
        <f>IF(F82=0,0,(F82*(1+'Infos FoFö'!$C$65+'Infos FoFö'!$C$67)+'Infos FoFö'!$C$68+'Infos FoFö'!$C$69)*(1+$K82/12))</f>
        <v>3980.7007640492657</v>
      </c>
      <c r="P82" s="414">
        <f>IF(G82=0,0,(G82*(1+'Infos FoFö'!$C$65+'Infos FoFö'!$C$67)+'Infos FoFö'!$C$68+'Infos FoFö'!$C$69)*(1+$K82/12))</f>
        <v>4071.5742608273981</v>
      </c>
      <c r="Q82" s="414">
        <f>IF(H82=0,0,(H82*(1+'Infos FoFö'!$C$65+'Infos FoFö'!$C$67)+'Infos FoFö'!$C$68+'Infos FoFö'!$C$69)*(1+$K82/12))</f>
        <v>4164.5378480314284</v>
      </c>
      <c r="R82" s="414">
        <f>IF(I82=0,0,(I82*(1+'Infos FoFö'!$C$65+'Infos FoFö'!$C$67)+'Infos FoFö'!$C$68+'Infos FoFö'!$C$69)*(1+$K82/12))</f>
        <v>4259.6395977411503</v>
      </c>
      <c r="S82" s="422">
        <f t="shared" si="61"/>
        <v>7.9862403204622831E-2</v>
      </c>
    </row>
    <row r="83" spans="1:19" x14ac:dyDescent="0.35">
      <c r="A83" s="87" t="s">
        <v>85</v>
      </c>
      <c r="B83" s="88">
        <v>6</v>
      </c>
      <c r="C83" s="89">
        <v>3142.28</v>
      </c>
      <c r="D83" s="90">
        <v>3230.26</v>
      </c>
      <c r="E83" s="412">
        <f t="shared" ref="E83:I83" si="82">D83*(1+E$3)</f>
        <v>3304.5559800000001</v>
      </c>
      <c r="F83" s="412">
        <f t="shared" si="82"/>
        <v>3380.5607675399997</v>
      </c>
      <c r="G83" s="412">
        <f t="shared" si="82"/>
        <v>3458.3136651934192</v>
      </c>
      <c r="H83" s="412">
        <f t="shared" si="82"/>
        <v>3537.8548794928674</v>
      </c>
      <c r="I83" s="413">
        <f t="shared" si="82"/>
        <v>3619.2255417212032</v>
      </c>
      <c r="J83" s="91">
        <v>0.88139999999999996</v>
      </c>
      <c r="K83" s="91">
        <v>0.85740000000000005</v>
      </c>
      <c r="L83" s="418">
        <f>IF(C83=0,0,(C83*(1+'Infos FoFö'!$C$65+'Infos FoFö'!$C$67)+'Infos FoFö'!$C$68+'Infos FoFö'!$C$69)*(1+$J83/12))</f>
        <v>4390.2843374215008</v>
      </c>
      <c r="M83" s="412">
        <f>IF(D83=0,0,(D83*(1+'Infos FoFö'!$C$65+'Infos FoFö'!$C$67)+'Infos FoFö'!$C$68+'Infos FoFö'!$C$69)*(1+$K83/12))</f>
        <v>4503.9671650417504</v>
      </c>
      <c r="N83" s="412">
        <f>IF(E83=0,0,(E83*(1+'Infos FoFö'!$C$65+'Infos FoFö'!$C$67)+'Infos FoFö'!$C$68+'Infos FoFö'!$C$69)*(1+$K83/12))</f>
        <v>4606.8757890427105</v>
      </c>
      <c r="O83" s="412">
        <f>IF(F83=0,0,(F83*(1+'Infos FoFö'!$C$65+'Infos FoFö'!$C$67)+'Infos FoFö'!$C$68+'Infos FoFö'!$C$69)*(1+$K83/12))</f>
        <v>4712.1513113956917</v>
      </c>
      <c r="P83" s="412">
        <f>IF(G83=0,0,(G83*(1+'Infos FoFö'!$C$65+'Infos FoFö'!$C$67)+'Infos FoFö'!$C$68+'Infos FoFö'!$C$69)*(1+$K83/12))</f>
        <v>4819.8481707627925</v>
      </c>
      <c r="Q83" s="412">
        <f>IF(H83=0,0,(H83*(1+'Infos FoFö'!$C$65+'Infos FoFö'!$C$67)+'Infos FoFö'!$C$68+'Infos FoFö'!$C$69)*(1+$K83/12))</f>
        <v>4930.0220578953358</v>
      </c>
      <c r="R83" s="412">
        <f>IF(I83=0,0,(I83*(1+'Infos FoFö'!$C$65+'Infos FoFö'!$C$67)+'Infos FoFö'!$C$68+'Infos FoFö'!$C$69)*(1+$K83/12))</f>
        <v>5042.7299444319287</v>
      </c>
      <c r="S83" s="421">
        <f t="shared" si="61"/>
        <v>0</v>
      </c>
    </row>
    <row r="84" spans="1:19" x14ac:dyDescent="0.35">
      <c r="A84" s="76" t="s">
        <v>85</v>
      </c>
      <c r="B84" s="20">
        <v>5</v>
      </c>
      <c r="C84" s="85">
        <v>3080.89</v>
      </c>
      <c r="D84" s="77">
        <v>3167.15</v>
      </c>
      <c r="E84" s="414">
        <f t="shared" ref="E84:I84" si="83">D84*(1+E$3)</f>
        <v>3239.9944499999997</v>
      </c>
      <c r="F84" s="414">
        <f t="shared" si="83"/>
        <v>3314.5143223499995</v>
      </c>
      <c r="G84" s="414">
        <f t="shared" si="83"/>
        <v>3390.748151764049</v>
      </c>
      <c r="H84" s="414">
        <f t="shared" si="83"/>
        <v>3468.7353592546219</v>
      </c>
      <c r="I84" s="415">
        <f t="shared" si="83"/>
        <v>3548.5162725174778</v>
      </c>
      <c r="J84" s="78">
        <v>0.88139999999999996</v>
      </c>
      <c r="K84" s="78">
        <v>0.85740000000000005</v>
      </c>
      <c r="L84" s="419">
        <f>IF(C84=0,0,(C84*(1+'Infos FoFö'!$C$65+'Infos FoFö'!$C$67)+'Infos FoFö'!$C$68+'Infos FoFö'!$C$69)*(1+$J84/12))</f>
        <v>4305.0932817138755</v>
      </c>
      <c r="M84" s="414">
        <f>IF(D84=0,0,(D84*(1+'Infos FoFö'!$C$65+'Infos FoFö'!$C$67)+'Infos FoFö'!$C$68+'Infos FoFö'!$C$69)*(1+$K84/12))</f>
        <v>4416.5524319606257</v>
      </c>
      <c r="N84" s="414">
        <f>IF(E84=0,0,(E84*(1+'Infos FoFö'!$C$65+'Infos FoFö'!$C$67)+'Infos FoFö'!$C$68+'Infos FoFö'!$C$69)*(1+$K84/12))</f>
        <v>4517.4505171007186</v>
      </c>
      <c r="O84" s="414">
        <f>IF(F84=0,0,(F84*(1+'Infos FoFö'!$C$65+'Infos FoFö'!$C$67)+'Infos FoFö'!$C$68+'Infos FoFö'!$C$69)*(1+$K84/12))</f>
        <v>4620.6692581990355</v>
      </c>
      <c r="P84" s="414">
        <f>IF(G84=0,0,(G84*(1+'Infos FoFö'!$C$65+'Infos FoFö'!$C$67)+'Infos FoFö'!$C$68+'Infos FoFö'!$C$69)*(1+$K84/12))</f>
        <v>4726.262030342612</v>
      </c>
      <c r="Q84" s="414">
        <f>IF(H84=0,0,(H84*(1+'Infos FoFö'!$C$65+'Infos FoFö'!$C$67)+'Infos FoFö'!$C$68+'Infos FoFö'!$C$69)*(1+$K84/12))</f>
        <v>4834.2834362454923</v>
      </c>
      <c r="R84" s="414">
        <f>IF(I84=0,0,(I84*(1+'Infos FoFö'!$C$65+'Infos FoFö'!$C$67)+'Infos FoFö'!$C$68+'Infos FoFö'!$C$69)*(1+$K84/12))</f>
        <v>4944.7893344841386</v>
      </c>
      <c r="S84" s="422">
        <f t="shared" si="61"/>
        <v>1.9788434334159281E-2</v>
      </c>
    </row>
    <row r="85" spans="1:19" x14ac:dyDescent="0.35">
      <c r="A85" s="76" t="s">
        <v>85</v>
      </c>
      <c r="B85" s="20">
        <v>4</v>
      </c>
      <c r="C85" s="85">
        <v>2989.89</v>
      </c>
      <c r="D85" s="77">
        <v>3073.61</v>
      </c>
      <c r="E85" s="414">
        <f t="shared" ref="E85:I85" si="84">D85*(1+E$3)</f>
        <v>3144.30303</v>
      </c>
      <c r="F85" s="414">
        <f t="shared" si="84"/>
        <v>3216.6219996899999</v>
      </c>
      <c r="G85" s="414">
        <f t="shared" si="84"/>
        <v>3290.6043056828698</v>
      </c>
      <c r="H85" s="414">
        <f t="shared" si="84"/>
        <v>3366.2882047135754</v>
      </c>
      <c r="I85" s="415">
        <f t="shared" si="84"/>
        <v>3443.7128334219874</v>
      </c>
      <c r="J85" s="78">
        <v>0.88139999999999996</v>
      </c>
      <c r="K85" s="78">
        <v>0.85740000000000005</v>
      </c>
      <c r="L85" s="419">
        <f>IF(C85=0,0,(C85*(1+'Infos FoFö'!$C$65+'Infos FoFö'!$C$67)+'Infos FoFö'!$C$68+'Infos FoFö'!$C$69)*(1+$J85/12))</f>
        <v>4178.8123553513751</v>
      </c>
      <c r="M85" s="414">
        <f>IF(D85=0,0,(D85*(1+'Infos FoFö'!$C$65+'Infos FoFö'!$C$67)+'Infos FoFö'!$C$68+'Infos FoFö'!$C$69)*(1+$K85/12))</f>
        <v>4286.9885889498755</v>
      </c>
      <c r="N85" s="414">
        <f>IF(E85=0,0,(E85*(1+'Infos FoFö'!$C$65+'Infos FoFö'!$C$67)+'Infos FoFö'!$C$68+'Infos FoFö'!$C$69)*(1+$K85/12))</f>
        <v>4384.9067057007223</v>
      </c>
      <c r="O85" s="414">
        <f>IF(F85=0,0,(F85*(1+'Infos FoFö'!$C$65+'Infos FoFö'!$C$67)+'Infos FoFö'!$C$68+'Infos FoFö'!$C$69)*(1+$K85/12))</f>
        <v>4485.0769391368385</v>
      </c>
      <c r="P85" s="414">
        <f>IF(G85=0,0,(G85*(1+'Infos FoFö'!$C$65+'Infos FoFö'!$C$67)+'Infos FoFö'!$C$68+'Infos FoFö'!$C$69)*(1+$K85/12))</f>
        <v>4587.5510879419862</v>
      </c>
      <c r="Q85" s="414">
        <f>IF(H85=0,0,(H85*(1+'Infos FoFö'!$C$65+'Infos FoFö'!$C$67)+'Infos FoFö'!$C$68+'Infos FoFö'!$C$69)*(1+$K85/12))</f>
        <v>4692.3821421696503</v>
      </c>
      <c r="R85" s="414">
        <f>IF(I85=0,0,(I85*(1+'Infos FoFö'!$C$65+'Infos FoFö'!$C$67)+'Infos FoFö'!$C$68+'Infos FoFö'!$C$69)*(1+$K85/12))</f>
        <v>4799.6243106445527</v>
      </c>
      <c r="S85" s="422">
        <f t="shared" si="61"/>
        <v>3.021933401742373E-2</v>
      </c>
    </row>
    <row r="86" spans="1:19" x14ac:dyDescent="0.35">
      <c r="A86" s="76" t="s">
        <v>85</v>
      </c>
      <c r="B86" s="20">
        <v>3</v>
      </c>
      <c r="C86" s="85">
        <v>2876.79</v>
      </c>
      <c r="D86" s="77">
        <v>2957.34</v>
      </c>
      <c r="E86" s="414">
        <f t="shared" ref="E86:I86" si="85">D86*(1+E$3)</f>
        <v>3025.3588199999999</v>
      </c>
      <c r="F86" s="414">
        <f t="shared" si="85"/>
        <v>3094.9420728599998</v>
      </c>
      <c r="G86" s="414">
        <f t="shared" si="85"/>
        <v>3166.1257405357796</v>
      </c>
      <c r="H86" s="414">
        <f t="shared" si="85"/>
        <v>3238.9466325681024</v>
      </c>
      <c r="I86" s="415">
        <f t="shared" si="85"/>
        <v>3313.4424051171686</v>
      </c>
      <c r="J86" s="78">
        <v>0.88139999999999996</v>
      </c>
      <c r="K86" s="78">
        <v>0.85740000000000005</v>
      </c>
      <c r="L86" s="419">
        <f>IF(C86=0,0,(C86*(1+'Infos FoFö'!$C$65+'Infos FoFö'!$C$67)+'Infos FoFö'!$C$68+'Infos FoFö'!$C$69)*(1+$J86/12))</f>
        <v>4021.8632040151256</v>
      </c>
      <c r="M86" s="414">
        <f>IF(D86=0,0,(D86*(1+'Infos FoFö'!$C$65+'Infos FoFö'!$C$67)+'Infos FoFö'!$C$68+'Infos FoFö'!$C$69)*(1+$K86/12))</f>
        <v>4125.9410368132503</v>
      </c>
      <c r="N86" s="414">
        <f>IF(E86=0,0,(E86*(1+'Infos FoFö'!$C$65+'Infos FoFö'!$C$67)+'Infos FoFö'!$C$68+'Infos FoFö'!$C$69)*(1+$K86/12))</f>
        <v>4220.1550598649555</v>
      </c>
      <c r="O86" s="414">
        <f>IF(F86=0,0,(F86*(1+'Infos FoFö'!$C$65+'Infos FoFö'!$C$67)+'Infos FoFö'!$C$68+'Infos FoFö'!$C$69)*(1+$K86/12))</f>
        <v>4316.5360054468492</v>
      </c>
      <c r="P86" s="414">
        <f>IF(G86=0,0,(G86*(1+'Infos FoFö'!$C$65+'Infos FoFö'!$C$67)+'Infos FoFö'!$C$68+'Infos FoFö'!$C$69)*(1+$K86/12))</f>
        <v>4415.1337127771267</v>
      </c>
      <c r="Q86" s="414">
        <f>IF(H86=0,0,(H86*(1+'Infos FoFö'!$C$65+'Infos FoFö'!$C$67)+'Infos FoFö'!$C$68+'Infos FoFö'!$C$69)*(1+$K86/12))</f>
        <v>4515.9991673759996</v>
      </c>
      <c r="R86" s="414">
        <f>IF(I86=0,0,(I86*(1+'Infos FoFö'!$C$65+'Infos FoFö'!$C$67)+'Infos FoFö'!$C$68+'Infos FoFö'!$C$69)*(1+$K86/12))</f>
        <v>4619.1845274306479</v>
      </c>
      <c r="S86" s="422">
        <f t="shared" si="61"/>
        <v>3.9023990467791973E-2</v>
      </c>
    </row>
    <row r="87" spans="1:19" x14ac:dyDescent="0.35">
      <c r="A87" s="76" t="s">
        <v>85</v>
      </c>
      <c r="B87" s="20">
        <v>2</v>
      </c>
      <c r="C87" s="85">
        <v>2757.73</v>
      </c>
      <c r="D87" s="77">
        <v>2834.95</v>
      </c>
      <c r="E87" s="414">
        <f t="shared" ref="E87:I87" si="86">D87*(1+E$3)</f>
        <v>2900.1538499999997</v>
      </c>
      <c r="F87" s="414">
        <f t="shared" si="86"/>
        <v>2966.8573885499995</v>
      </c>
      <c r="G87" s="414">
        <f t="shared" si="86"/>
        <v>3035.0951084866492</v>
      </c>
      <c r="H87" s="414">
        <f t="shared" si="86"/>
        <v>3104.9022959818417</v>
      </c>
      <c r="I87" s="415">
        <f t="shared" si="86"/>
        <v>3176.3150487894236</v>
      </c>
      <c r="J87" s="78">
        <v>0.88139999999999996</v>
      </c>
      <c r="K87" s="78">
        <v>0.85740000000000005</v>
      </c>
      <c r="L87" s="419">
        <f>IF(C87=0,0,(C87*(1+'Infos FoFö'!$C$65+'Infos FoFö'!$C$67)+'Infos FoFö'!$C$68+'Infos FoFö'!$C$69)*(1+$J87/12))</f>
        <v>3856.6433458533756</v>
      </c>
      <c r="M87" s="414">
        <f>IF(D87=0,0,(D87*(1+'Infos FoFö'!$C$65+'Infos FoFö'!$C$67)+'Infos FoFö'!$C$68+'Infos FoFö'!$C$69)*(1+$K87/12))</f>
        <v>3956.4165687131253</v>
      </c>
      <c r="N87" s="414">
        <f>IF(E87=0,0,(E87*(1+'Infos FoFö'!$C$65+'Infos FoFö'!$C$67)+'Infos FoFö'!$C$68+'Infos FoFö'!$C$69)*(1+$K87/12))</f>
        <v>4046.7315289985268</v>
      </c>
      <c r="O87" s="414">
        <f>IF(F87=0,0,(F87*(1+'Infos FoFö'!$C$65+'Infos FoFö'!$C$67)+'Infos FoFö'!$C$68+'Infos FoFö'!$C$69)*(1+$K87/12))</f>
        <v>4139.123733370493</v>
      </c>
      <c r="P87" s="414">
        <f>IF(G87=0,0,(G87*(1+'Infos FoFö'!$C$65+'Infos FoFö'!$C$67)+'Infos FoFö'!$C$68+'Infos FoFö'!$C$69)*(1+$K87/12))</f>
        <v>4233.6409584430139</v>
      </c>
      <c r="Q87" s="414">
        <f>IF(H87=0,0,(H87*(1+'Infos FoFö'!$C$65+'Infos FoFö'!$C$67)+'Infos FoFö'!$C$68+'Infos FoFö'!$C$69)*(1+$K87/12))</f>
        <v>4330.3320796922026</v>
      </c>
      <c r="R87" s="414">
        <f>IF(I87=0,0,(I87*(1+'Infos FoFö'!$C$65+'Infos FoFö'!$C$67)+'Infos FoFö'!$C$68+'Infos FoFö'!$C$69)*(1+$K87/12))</f>
        <v>4429.2470967301215</v>
      </c>
      <c r="S87" s="422">
        <f t="shared" si="61"/>
        <v>4.2840325989540275E-2</v>
      </c>
    </row>
    <row r="88" spans="1:19" ht="15" thickBot="1" x14ac:dyDescent="0.4">
      <c r="A88" s="79" t="s">
        <v>85</v>
      </c>
      <c r="B88" s="80">
        <v>1</v>
      </c>
      <c r="C88" s="86">
        <v>2547.6</v>
      </c>
      <c r="D88" s="81">
        <v>2618.9299999999998</v>
      </c>
      <c r="E88" s="416">
        <f t="shared" ref="E88:I88" si="87">D88*(1+E$3)</f>
        <v>2679.1653899999997</v>
      </c>
      <c r="F88" s="416">
        <f t="shared" si="87"/>
        <v>2740.7861939699992</v>
      </c>
      <c r="G88" s="416">
        <f t="shared" si="87"/>
        <v>2803.824276431309</v>
      </c>
      <c r="H88" s="416">
        <f t="shared" si="87"/>
        <v>2868.312234789229</v>
      </c>
      <c r="I88" s="417">
        <f t="shared" si="87"/>
        <v>2934.2834161893811</v>
      </c>
      <c r="J88" s="82">
        <v>0.88139999999999996</v>
      </c>
      <c r="K88" s="82">
        <v>0.85740000000000005</v>
      </c>
      <c r="L88" s="420">
        <f>IF(C88=0,0,(C88*(1+'Infos FoFö'!$C$65+'Infos FoFö'!$C$67)+'Infos FoFö'!$C$68+'Infos FoFö'!$C$69)*(1+$J88/12))</f>
        <v>3565.0454221550003</v>
      </c>
      <c r="M88" s="416">
        <f>IF(D88=0,0,(D88*(1+'Infos FoFö'!$C$65+'Infos FoFö'!$C$67)+'Infos FoFö'!$C$68+'Infos FoFö'!$C$69)*(1+$K88/12))</f>
        <v>3657.2035970733755</v>
      </c>
      <c r="N88" s="416">
        <f>IF(E88=0,0,(E88*(1+'Infos FoFö'!$C$65+'Infos FoFö'!$C$67)+'Infos FoFö'!$C$68+'Infos FoFö'!$C$69)*(1+$K88/12))</f>
        <v>3740.6366590110629</v>
      </c>
      <c r="O88" s="416">
        <f>IF(F88=0,0,(F88*(1+'Infos FoFö'!$C$65+'Infos FoFö'!$C$67)+'Infos FoFö'!$C$68+'Infos FoFö'!$C$69)*(1+$K88/12))</f>
        <v>3825.9886813733165</v>
      </c>
      <c r="P88" s="416">
        <f>IF(G88=0,0,(G88*(1+'Infos FoFö'!$C$65+'Infos FoFö'!$C$67)+'Infos FoFö'!$C$68+'Infos FoFö'!$C$69)*(1+$K88/12))</f>
        <v>3913.3038002499025</v>
      </c>
      <c r="Q88" s="416">
        <f>IF(H88=0,0,(H88*(1+'Infos FoFö'!$C$65+'Infos FoFö'!$C$67)+'Infos FoFö'!$C$68+'Infos FoFö'!$C$69)*(1+$K88/12))</f>
        <v>4002.62716686065</v>
      </c>
      <c r="R88" s="416">
        <f>IF(I88=0,0,(I88*(1+'Infos FoFö'!$C$65+'Infos FoFö'!$C$67)+'Infos FoFö'!$C$68+'Infos FoFö'!$C$69)*(1+$K88/12))</f>
        <v>4094.0049709034447</v>
      </c>
      <c r="S88" s="423">
        <f t="shared" si="61"/>
        <v>8.1793606860164514E-2</v>
      </c>
    </row>
    <row r="89" spans="1:19" x14ac:dyDescent="0.35">
      <c r="A89" s="76" t="s">
        <v>86</v>
      </c>
      <c r="B89" s="20">
        <v>6</v>
      </c>
      <c r="C89" s="85">
        <v>3013.7</v>
      </c>
      <c r="D89" s="77">
        <v>3098.08</v>
      </c>
      <c r="E89" s="414">
        <f t="shared" ref="E89:I89" si="88">D89*(1+E$3)</f>
        <v>3169.3358399999997</v>
      </c>
      <c r="F89" s="414">
        <f t="shared" si="88"/>
        <v>3242.2305643199993</v>
      </c>
      <c r="G89" s="414">
        <f t="shared" si="88"/>
        <v>3316.8018672993589</v>
      </c>
      <c r="H89" s="414">
        <f t="shared" si="88"/>
        <v>3393.088310247244</v>
      </c>
      <c r="I89" s="415">
        <f t="shared" si="88"/>
        <v>3471.1293413829303</v>
      </c>
      <c r="J89" s="78">
        <v>0.87429999999999997</v>
      </c>
      <c r="K89" s="78">
        <v>0.85050000000000003</v>
      </c>
      <c r="L89" s="419">
        <f>IF(C89=0,0,(C89*(1+'Infos FoFö'!$C$65+'Infos FoFö'!$C$67)+'Infos FoFö'!$C$68+'Infos FoFö'!$C$69)*(1+$J89/12))</f>
        <v>4209.5320523460414</v>
      </c>
      <c r="M89" s="414">
        <f>IF(D89=0,0,(D89*(1+'Infos FoFö'!$C$65+'Infos FoFö'!$C$67)+'Infos FoFö'!$C$68+'Infos FoFö'!$C$69)*(1+$K89/12))</f>
        <v>4318.5635744550009</v>
      </c>
      <c r="N89" s="414">
        <f>IF(E89=0,0,(E89*(1+'Infos FoFö'!$C$65+'Infos FoFö'!$C$67)+'Infos FoFö'!$C$68+'Infos FoFö'!$C$69)*(1+$K89/12))</f>
        <v>4417.2082822049651</v>
      </c>
      <c r="O89" s="414">
        <f>IF(F89=0,0,(F89*(1+'Infos FoFö'!$C$65+'Infos FoFö'!$C$67)+'Infos FoFö'!$C$68+'Infos FoFö'!$C$69)*(1+$K89/12))</f>
        <v>4518.1218182331786</v>
      </c>
      <c r="P89" s="414">
        <f>IF(G89=0,0,(G89*(1+'Infos FoFö'!$C$65+'Infos FoFö'!$C$67)+'Infos FoFö'!$C$68+'Infos FoFö'!$C$69)*(1+$K89/12))</f>
        <v>4621.3563655900407</v>
      </c>
      <c r="Q89" s="414">
        <f>IF(H89=0,0,(H89*(1+'Infos FoFö'!$C$65+'Infos FoFö'!$C$67)+'Infos FoFö'!$C$68+'Infos FoFö'!$C$69)*(1+$K89/12))</f>
        <v>4726.9653075361121</v>
      </c>
      <c r="R89" s="414">
        <f>IF(I89=0,0,(I89*(1+'Infos FoFö'!$C$65+'Infos FoFö'!$C$67)+'Infos FoFö'!$C$68+'Infos FoFö'!$C$69)*(1+$K89/12))</f>
        <v>4835.0032551469421</v>
      </c>
      <c r="S89" s="422">
        <f t="shared" si="61"/>
        <v>0</v>
      </c>
    </row>
    <row r="90" spans="1:19" x14ac:dyDescent="0.35">
      <c r="A90" s="76" t="s">
        <v>86</v>
      </c>
      <c r="B90" s="20">
        <v>5</v>
      </c>
      <c r="C90" s="85">
        <v>2960.14</v>
      </c>
      <c r="D90" s="77">
        <v>3043.02</v>
      </c>
      <c r="E90" s="414">
        <f t="shared" ref="E90:I90" si="89">D90*(1+E$3)</f>
        <v>3113.0094599999998</v>
      </c>
      <c r="F90" s="414">
        <f t="shared" si="89"/>
        <v>3184.6086775799995</v>
      </c>
      <c r="G90" s="414">
        <f t="shared" si="89"/>
        <v>3257.8546771643391</v>
      </c>
      <c r="H90" s="414">
        <f t="shared" si="89"/>
        <v>3332.7853347391188</v>
      </c>
      <c r="I90" s="415">
        <f t="shared" si="89"/>
        <v>3409.4393974381182</v>
      </c>
      <c r="J90" s="78">
        <v>0.87429999999999997</v>
      </c>
      <c r="K90" s="78">
        <v>0.85050000000000003</v>
      </c>
      <c r="L90" s="419">
        <f>IF(C90=0,0,(C90*(1+'Infos FoFö'!$C$65+'Infos FoFö'!$C$67)+'Infos FoFö'!$C$68+'Infos FoFö'!$C$69)*(1+$J90/12))</f>
        <v>4135.2476739321246</v>
      </c>
      <c r="M90" s="414">
        <f>IF(D90=0,0,(D90*(1+'Infos FoFö'!$C$65+'Infos FoFö'!$C$67)+'Infos FoFö'!$C$68+'Infos FoFö'!$C$69)*(1+$K90/12))</f>
        <v>4242.3399609418757</v>
      </c>
      <c r="N90" s="414">
        <f>IF(E90=0,0,(E90*(1+'Infos FoFö'!$C$65+'Infos FoFö'!$C$67)+'Infos FoFö'!$C$68+'Infos FoFö'!$C$69)*(1+$K90/12))</f>
        <v>4339.2315255810381</v>
      </c>
      <c r="O90" s="414">
        <f>IF(F90=0,0,(F90*(1+'Infos FoFö'!$C$65+'Infos FoFö'!$C$67)+'Infos FoFö'!$C$68+'Infos FoFö'!$C$69)*(1+$K90/12))</f>
        <v>4438.3515962069014</v>
      </c>
      <c r="P90" s="414">
        <f>IF(G90=0,0,(G90*(1+'Infos FoFö'!$C$65+'Infos FoFö'!$C$67)+'Infos FoFö'!$C$68+'Infos FoFö'!$C$69)*(1+$K90/12))</f>
        <v>4539.7514284571598</v>
      </c>
      <c r="Q90" s="414">
        <f>IF(H90=0,0,(H90*(1+'Infos FoFö'!$C$65+'Infos FoFö'!$C$67)+'Infos FoFö'!$C$68+'Infos FoFö'!$C$69)*(1+$K90/12))</f>
        <v>4643.4834568491742</v>
      </c>
      <c r="R90" s="414">
        <f>IF(I90=0,0,(I90*(1+'Infos FoFö'!$C$65+'Infos FoFö'!$C$67)+'Infos FoFö'!$C$68+'Infos FoFö'!$C$69)*(1+$K90/12))</f>
        <v>4749.6013218942044</v>
      </c>
      <c r="S90" s="422">
        <f t="shared" si="61"/>
        <v>1.796370719998042E-2</v>
      </c>
    </row>
    <row r="91" spans="1:19" x14ac:dyDescent="0.35">
      <c r="A91" s="76" t="s">
        <v>86</v>
      </c>
      <c r="B91" s="20">
        <v>4</v>
      </c>
      <c r="C91" s="85">
        <v>2876.79</v>
      </c>
      <c r="D91" s="77">
        <v>2957.34</v>
      </c>
      <c r="E91" s="414">
        <f t="shared" ref="E91:I91" si="90">D91*(1+E$3)</f>
        <v>3025.3588199999999</v>
      </c>
      <c r="F91" s="414">
        <f t="shared" si="90"/>
        <v>3094.9420728599998</v>
      </c>
      <c r="G91" s="414">
        <f t="shared" si="90"/>
        <v>3166.1257405357796</v>
      </c>
      <c r="H91" s="414">
        <f t="shared" si="90"/>
        <v>3238.9466325681024</v>
      </c>
      <c r="I91" s="415">
        <f t="shared" si="90"/>
        <v>3313.4424051171686</v>
      </c>
      <c r="J91" s="78">
        <v>0.87429999999999997</v>
      </c>
      <c r="K91" s="78">
        <v>0.85050000000000003</v>
      </c>
      <c r="L91" s="419">
        <f>IF(C91=0,0,(C91*(1+'Infos FoFö'!$C$65+'Infos FoFö'!$C$67)+'Infos FoFö'!$C$68+'Infos FoFö'!$C$69)*(1+$J91/12))</f>
        <v>4019.6464241038962</v>
      </c>
      <c r="M91" s="414">
        <f>IF(D91=0,0,(D91*(1+'Infos FoFö'!$C$65+'Infos FoFö'!$C$67)+'Infos FoFö'!$C$68+'Infos FoFö'!$C$69)*(1+$K91/12))</f>
        <v>4123.7268260743758</v>
      </c>
      <c r="N91" s="414">
        <f>IF(E91=0,0,(E91*(1+'Infos FoFö'!$C$65+'Infos FoFö'!$C$67)+'Infos FoFö'!$C$68+'Infos FoFö'!$C$69)*(1+$K91/12))</f>
        <v>4217.8902886115866</v>
      </c>
      <c r="O91" s="414">
        <f>IF(F91=0,0,(F91*(1+'Infos FoFö'!$C$65+'Infos FoFö'!$C$67)+'Infos FoFö'!$C$68+'Infos FoFö'!$C$69)*(1+$K91/12))</f>
        <v>4314.219510787153</v>
      </c>
      <c r="P91" s="414">
        <f>IF(G91=0,0,(G91*(1+'Infos FoFö'!$C$65+'Infos FoFö'!$C$67)+'Infos FoFö'!$C$68+'Infos FoFö'!$C$69)*(1+$K91/12))</f>
        <v>4412.7643050727565</v>
      </c>
      <c r="Q91" s="414">
        <f>IF(H91=0,0,(H91*(1+'Infos FoFö'!$C$65+'Infos FoFö'!$C$67)+'Infos FoFö'!$C$68+'Infos FoFö'!$C$69)*(1+$K91/12))</f>
        <v>4513.5756296269292</v>
      </c>
      <c r="R91" s="414">
        <f>IF(I91=0,0,(I91*(1+'Infos FoFö'!$C$65+'Infos FoFö'!$C$67)+'Infos FoFö'!$C$68+'Infos FoFö'!$C$69)*(1+$K91/12))</f>
        <v>4616.705614645849</v>
      </c>
      <c r="S91" s="422">
        <f t="shared" si="61"/>
        <v>2.8759059288156058E-2</v>
      </c>
    </row>
    <row r="92" spans="1:19" x14ac:dyDescent="0.35">
      <c r="A92" s="76" t="s">
        <v>86</v>
      </c>
      <c r="B92" s="20">
        <v>3</v>
      </c>
      <c r="C92" s="85">
        <v>2793.45</v>
      </c>
      <c r="D92" s="77">
        <v>2871.67</v>
      </c>
      <c r="E92" s="414">
        <f t="shared" ref="E92:I92" si="91">D92*(1+E$3)</f>
        <v>2937.7184099999999</v>
      </c>
      <c r="F92" s="414">
        <f t="shared" si="91"/>
        <v>3005.2859334299997</v>
      </c>
      <c r="G92" s="414">
        <f t="shared" si="91"/>
        <v>3074.4075098988892</v>
      </c>
      <c r="H92" s="414">
        <f t="shared" si="91"/>
        <v>3145.1188826265634</v>
      </c>
      <c r="I92" s="415">
        <f t="shared" si="91"/>
        <v>3217.4566169269742</v>
      </c>
      <c r="J92" s="78">
        <v>0.87429999999999997</v>
      </c>
      <c r="K92" s="78">
        <v>0.85050000000000003</v>
      </c>
      <c r="L92" s="419">
        <f>IF(C92=0,0,(C92*(1+'Infos FoFö'!$C$65+'Infos FoFö'!$C$67)+'Infos FoFö'!$C$68+'Infos FoFö'!$C$69)*(1+$J92/12))</f>
        <v>3904.0590436517709</v>
      </c>
      <c r="M92" s="414">
        <f>IF(D92=0,0,(D92*(1+'Infos FoFö'!$C$65+'Infos FoFö'!$C$67)+'Infos FoFö'!$C$68+'Infos FoFö'!$C$69)*(1+$K92/12))</f>
        <v>4005.1275349434381</v>
      </c>
      <c r="N92" s="414">
        <f>IF(E92=0,0,(E92*(1+'Infos FoFö'!$C$65+'Infos FoFö'!$C$67)+'Infos FoFö'!$C$68+'Infos FoFö'!$C$69)*(1+$K92/12))</f>
        <v>4096.5632137846369</v>
      </c>
      <c r="O92" s="414">
        <f>IF(F92=0,0,(F92*(1+'Infos FoFö'!$C$65+'Infos FoFö'!$C$67)+'Infos FoFö'!$C$68+'Infos FoFö'!$C$69)*(1+$K92/12))</f>
        <v>4190.101913239183</v>
      </c>
      <c r="P92" s="414">
        <f>IF(G92=0,0,(G92*(1+'Infos FoFö'!$C$65+'Infos FoFö'!$C$67)+'Infos FoFö'!$C$68+'Infos FoFö'!$C$69)*(1+$K92/12))</f>
        <v>4285.7920027811842</v>
      </c>
      <c r="Q92" s="414">
        <f>IF(H92=0,0,(H92*(1+'Infos FoFö'!$C$65+'Infos FoFö'!$C$67)+'Infos FoFö'!$C$68+'Infos FoFö'!$C$69)*(1+$K92/12))</f>
        <v>4383.6829643826504</v>
      </c>
      <c r="R92" s="414">
        <f>IF(I92=0,0,(I92*(1+'Infos FoFö'!$C$65+'Infos FoFö'!$C$67)+'Infos FoFö'!$C$68+'Infos FoFö'!$C$69)*(1+$K92/12))</f>
        <v>4483.8254181009506</v>
      </c>
      <c r="S92" s="422">
        <f t="shared" si="61"/>
        <v>2.9606975499019944E-2</v>
      </c>
    </row>
    <row r="93" spans="1:19" x14ac:dyDescent="0.35">
      <c r="A93" s="76" t="s">
        <v>86</v>
      </c>
      <c r="B93" s="20">
        <v>2</v>
      </c>
      <c r="C93" s="85">
        <v>2644.64</v>
      </c>
      <c r="D93" s="77">
        <v>2718.69</v>
      </c>
      <c r="E93" s="414">
        <f t="shared" ref="E93:I93" si="92">D93*(1+E$3)</f>
        <v>2781.2198699999999</v>
      </c>
      <c r="F93" s="414">
        <f t="shared" si="92"/>
        <v>2845.1879270099998</v>
      </c>
      <c r="G93" s="414">
        <f t="shared" si="92"/>
        <v>2910.6272493312295</v>
      </c>
      <c r="H93" s="414">
        <f t="shared" si="92"/>
        <v>2977.5716760658474</v>
      </c>
      <c r="I93" s="415">
        <f t="shared" si="92"/>
        <v>3046.0558246153619</v>
      </c>
      <c r="J93" s="78">
        <v>0.87429999999999997</v>
      </c>
      <c r="K93" s="78">
        <v>0.85050000000000003</v>
      </c>
      <c r="L93" s="419">
        <f>IF(C93=0,0,(C93*(1+'Infos FoFö'!$C$65+'Infos FoFö'!$C$67)+'Infos FoFö'!$C$68+'Infos FoFö'!$C$69)*(1+$J93/12))</f>
        <v>3697.6688578456669</v>
      </c>
      <c r="M93" s="414">
        <f>IF(D93=0,0,(D93*(1+'Infos FoFö'!$C$65+'Infos FoFö'!$C$67)+'Infos FoFö'!$C$68+'Infos FoFö'!$C$69)*(1+$K93/12))</f>
        <v>3793.3460530103134</v>
      </c>
      <c r="N93" s="414">
        <f>IF(E93=0,0,(E93*(1+'Infos FoFö'!$C$65+'Infos FoFö'!$C$67)+'Infos FoFö'!$C$68+'Infos FoFö'!$C$69)*(1+$K93/12))</f>
        <v>3879.9107577670502</v>
      </c>
      <c r="O93" s="414">
        <f>IF(F93=0,0,(F93*(1+'Infos FoFö'!$C$65+'Infos FoFö'!$C$67)+'Infos FoFö'!$C$68+'Infos FoFö'!$C$69)*(1+$K93/12))</f>
        <v>3968.4664507331922</v>
      </c>
      <c r="P93" s="414">
        <f>IF(G93=0,0,(G93*(1+'Infos FoFö'!$C$65+'Infos FoFö'!$C$67)+'Infos FoFö'!$C$68+'Infos FoFö'!$C$69)*(1+$K93/12))</f>
        <v>4059.0589246375553</v>
      </c>
      <c r="Q93" s="414">
        <f>IF(H93=0,0,(H93*(1+'Infos FoFö'!$C$65+'Infos FoFö'!$C$67)+'Infos FoFö'!$C$68+'Infos FoFö'!$C$69)*(1+$K93/12))</f>
        <v>4151.7350254417179</v>
      </c>
      <c r="R93" s="414">
        <f>IF(I93=0,0,(I93*(1+'Infos FoFö'!$C$65+'Infos FoFö'!$C$67)+'Infos FoFö'!$C$68+'Infos FoFö'!$C$69)*(1+$K93/12))</f>
        <v>4246.5426765643779</v>
      </c>
      <c r="S93" s="422">
        <f t="shared" si="61"/>
        <v>5.5816297710972122E-2</v>
      </c>
    </row>
    <row r="94" spans="1:19" ht="15" thickBot="1" x14ac:dyDescent="0.4">
      <c r="A94" s="76" t="s">
        <v>86</v>
      </c>
      <c r="B94" s="20">
        <v>1</v>
      </c>
      <c r="C94" s="85">
        <v>2432.59</v>
      </c>
      <c r="D94" s="77">
        <v>2500.6999999999998</v>
      </c>
      <c r="E94" s="414">
        <f t="shared" ref="E94:I94" si="93">D94*(1+E$3)</f>
        <v>2558.2160999999996</v>
      </c>
      <c r="F94" s="414">
        <f t="shared" si="93"/>
        <v>2617.0550702999994</v>
      </c>
      <c r="G94" s="414">
        <f t="shared" si="93"/>
        <v>2677.2473369168993</v>
      </c>
      <c r="H94" s="414">
        <f t="shared" si="93"/>
        <v>2738.8240256659878</v>
      </c>
      <c r="I94" s="415">
        <f t="shared" si="93"/>
        <v>2801.8169782563054</v>
      </c>
      <c r="J94" s="78">
        <v>0.87429999999999997</v>
      </c>
      <c r="K94" s="78">
        <v>0.85050000000000003</v>
      </c>
      <c r="L94" s="419">
        <f>IF(C94=0,0,(C94*(1+'Infos FoFö'!$C$65+'Infos FoFö'!$C$67)+'Infos FoFö'!$C$68+'Infos FoFö'!$C$69)*(1+$J94/12))</f>
        <v>3403.5687375568132</v>
      </c>
      <c r="M94" s="414">
        <f>IF(D94=0,0,(D94*(1+'Infos FoFö'!$C$65+'Infos FoFö'!$C$67)+'Infos FoFö'!$C$68+'Infos FoFö'!$C$69)*(1+$K94/12))</f>
        <v>3491.5664396843754</v>
      </c>
      <c r="N94" s="414">
        <f>IF(E94=0,0,(E94*(1+'Infos FoFö'!$C$65+'Infos FoFö'!$C$67)+'Infos FoFö'!$C$68+'Infos FoFö'!$C$69)*(1+$K94/12))</f>
        <v>3571.1902133346157</v>
      </c>
      <c r="O94" s="414">
        <f>IF(F94=0,0,(F94*(1+'Infos FoFö'!$C$65+'Infos FoFö'!$C$67)+'Infos FoFö'!$C$68+'Infos FoFö'!$C$69)*(1+$K94/12))</f>
        <v>3652.6453337788116</v>
      </c>
      <c r="P94" s="414">
        <f>IF(G94=0,0,(G94*(1+'Infos FoFö'!$C$65+'Infos FoFö'!$C$67)+'Infos FoFö'!$C$68+'Infos FoFö'!$C$69)*(1+$K94/12))</f>
        <v>3735.9739219932239</v>
      </c>
      <c r="Q94" s="414">
        <f>IF(H94=0,0,(H94*(1+'Infos FoFö'!$C$65+'Infos FoFö'!$C$67)+'Infos FoFö'!$C$68+'Infos FoFö'!$C$69)*(1+$K94/12))</f>
        <v>3821.2190677365679</v>
      </c>
      <c r="R94" s="414">
        <f>IF(I94=0,0,(I94*(1+'Infos FoFö'!$C$65+'Infos FoFö'!$C$67)+'Infos FoFö'!$C$68+'Infos FoFö'!$C$69)*(1+$K94/12))</f>
        <v>3908.4248518320087</v>
      </c>
      <c r="S94" s="422">
        <f t="shared" ref="S94:S117" si="94">IF((L93-L94)/L94&lt;0,0,(L93-L94)/L94)</f>
        <v>8.6409337658909138E-2</v>
      </c>
    </row>
    <row r="95" spans="1:19" x14ac:dyDescent="0.35">
      <c r="A95" s="87" t="s">
        <v>87</v>
      </c>
      <c r="B95" s="88">
        <v>6</v>
      </c>
      <c r="C95" s="89">
        <v>2906.55</v>
      </c>
      <c r="D95" s="90">
        <v>2987.93</v>
      </c>
      <c r="E95" s="412">
        <f t="shared" ref="E95:I95" si="95">D95*(1+E$3)</f>
        <v>3056.6523899999997</v>
      </c>
      <c r="F95" s="412">
        <f t="shared" si="95"/>
        <v>3126.9553949699994</v>
      </c>
      <c r="G95" s="412">
        <f t="shared" si="95"/>
        <v>3198.875369054309</v>
      </c>
      <c r="H95" s="412">
        <f t="shared" si="95"/>
        <v>3272.4495025425576</v>
      </c>
      <c r="I95" s="413">
        <f t="shared" si="95"/>
        <v>3347.7158411010359</v>
      </c>
      <c r="J95" s="91">
        <v>0.87429999999999997</v>
      </c>
      <c r="K95" s="91">
        <v>0.85050000000000003</v>
      </c>
      <c r="L95" s="418">
        <f>IF(C95=0,0,(C95*(1+'Infos FoFö'!$C$65+'Infos FoFö'!$C$67)+'Infos FoFö'!$C$68+'Infos FoFö'!$C$69)*(1+$J95/12))</f>
        <v>4060.9216873898959</v>
      </c>
      <c r="M95" s="412">
        <f>IF(D95=0,0,(D95*(1+'Infos FoFö'!$C$65+'Infos FoFö'!$C$67)+'Infos FoFö'!$C$68+'Infos FoFö'!$C$69)*(1+$K95/12))</f>
        <v>4166.074816219063</v>
      </c>
      <c r="N95" s="412">
        <f>IF(E95=0,0,(E95*(1+'Infos FoFö'!$C$65+'Infos FoFö'!$C$67)+'Infos FoFö'!$C$68+'Infos FoFö'!$C$69)*(1+$K95/12))</f>
        <v>4261.212282529601</v>
      </c>
      <c r="O95" s="412">
        <f>IF(F95=0,0,(F95*(1+'Infos FoFö'!$C$65+'Infos FoFö'!$C$67)+'Infos FoFö'!$C$68+'Infos FoFö'!$C$69)*(1+$K95/12))</f>
        <v>4358.5379105652819</v>
      </c>
      <c r="P95" s="412">
        <f>IF(G95=0,0,(G95*(1+'Infos FoFö'!$C$65+'Infos FoFö'!$C$67)+'Infos FoFö'!$C$68+'Infos FoFö'!$C$69)*(1+$K95/12))</f>
        <v>4458.1020280457815</v>
      </c>
      <c r="Q95" s="412">
        <f>IF(H95=0,0,(H95*(1+'Infos FoFö'!$C$65+'Infos FoFö'!$C$67)+'Infos FoFö'!$C$68+'Infos FoFö'!$C$69)*(1+$K95/12))</f>
        <v>4559.9561202283348</v>
      </c>
      <c r="R95" s="412">
        <f>IF(I95=0,0,(I95*(1+'Infos FoFö'!$C$65+'Infos FoFö'!$C$67)+'Infos FoFö'!$C$68+'Infos FoFö'!$C$69)*(1+$K95/12))</f>
        <v>4664.1528565310855</v>
      </c>
      <c r="S95" s="421">
        <f t="shared" si="94"/>
        <v>0</v>
      </c>
    </row>
    <row r="96" spans="1:19" x14ac:dyDescent="0.35">
      <c r="A96" s="76" t="s">
        <v>87</v>
      </c>
      <c r="B96" s="20">
        <v>5</v>
      </c>
      <c r="C96" s="85">
        <v>2841.07</v>
      </c>
      <c r="D96" s="77">
        <v>2920.62</v>
      </c>
      <c r="E96" s="414">
        <f t="shared" ref="E96:I96" si="96">D96*(1+E$3)</f>
        <v>2987.7942599999997</v>
      </c>
      <c r="F96" s="414">
        <f t="shared" si="96"/>
        <v>3056.5135279799993</v>
      </c>
      <c r="G96" s="414">
        <f t="shared" si="96"/>
        <v>3126.8133391235388</v>
      </c>
      <c r="H96" s="414">
        <f t="shared" si="96"/>
        <v>3198.7300459233797</v>
      </c>
      <c r="I96" s="415">
        <f t="shared" si="96"/>
        <v>3272.3008369796171</v>
      </c>
      <c r="J96" s="78">
        <v>0.87429999999999997</v>
      </c>
      <c r="K96" s="78">
        <v>0.85050000000000003</v>
      </c>
      <c r="L96" s="419">
        <f>IF(C96=0,0,(C96*(1+'Infos FoFö'!$C$65+'Infos FoFö'!$C$67)+'Infos FoFö'!$C$68+'Infos FoFö'!$C$69)*(1+$J96/12))</f>
        <v>3970.1050126598129</v>
      </c>
      <c r="M96" s="414">
        <f>IF(D96=0,0,(D96*(1+'Infos FoFö'!$C$65+'Infos FoFö'!$C$67)+'Infos FoFö'!$C$68+'Infos FoFö'!$C$69)*(1+$K96/12))</f>
        <v>4072.892625416875</v>
      </c>
      <c r="N96" s="414">
        <f>IF(E96=0,0,(E96*(1+'Infos FoFö'!$C$65+'Infos FoFö'!$C$67)+'Infos FoFö'!$C$68+'Infos FoFö'!$C$69)*(1+$K96/12))</f>
        <v>4165.8869013389631</v>
      </c>
      <c r="O96" s="414">
        <f>IF(F96=0,0,(F96*(1+'Infos FoFö'!$C$65+'Infos FoFö'!$C$67)+'Infos FoFö'!$C$68+'Infos FoFö'!$C$69)*(1+$K96/12))</f>
        <v>4261.0200456072589</v>
      </c>
      <c r="P96" s="414">
        <f>IF(G96=0,0,(G96*(1+'Infos FoFö'!$C$65+'Infos FoFö'!$C$67)+'Infos FoFö'!$C$68+'Infos FoFö'!$C$69)*(1+$K96/12))</f>
        <v>4358.3412521937253</v>
      </c>
      <c r="Q96" s="414">
        <f>IF(H96=0,0,(H96*(1+'Infos FoFö'!$C$65+'Infos FoFö'!$C$67)+'Infos FoFö'!$C$68+'Infos FoFö'!$C$69)*(1+$K96/12))</f>
        <v>4457.9008465316792</v>
      </c>
      <c r="R96" s="414">
        <f>IF(I96=0,0,(I96*(1+'Infos FoFö'!$C$65+'Infos FoFö'!$C$67)+'Infos FoFö'!$C$68+'Infos FoFö'!$C$69)*(1+$K96/12))</f>
        <v>4559.7503115394074</v>
      </c>
      <c r="S96" s="422">
        <f t="shared" si="94"/>
        <v>2.2875131625105138E-2</v>
      </c>
    </row>
    <row r="97" spans="1:19" x14ac:dyDescent="0.35">
      <c r="A97" s="76" t="s">
        <v>87</v>
      </c>
      <c r="B97" s="20">
        <v>4</v>
      </c>
      <c r="C97" s="85">
        <v>2763.68</v>
      </c>
      <c r="D97" s="77">
        <v>2841.06</v>
      </c>
      <c r="E97" s="414">
        <f t="shared" ref="E97:I97" si="97">D97*(1+E$3)</f>
        <v>2906.4043799999995</v>
      </c>
      <c r="F97" s="414">
        <f t="shared" si="97"/>
        <v>2973.2516807399993</v>
      </c>
      <c r="G97" s="414">
        <f t="shared" si="97"/>
        <v>3041.636469397019</v>
      </c>
      <c r="H97" s="414">
        <f t="shared" si="97"/>
        <v>3111.5941081931501</v>
      </c>
      <c r="I97" s="415">
        <f t="shared" si="97"/>
        <v>3183.1607726815923</v>
      </c>
      <c r="J97" s="78">
        <v>0.87429999999999997</v>
      </c>
      <c r="K97" s="78">
        <v>0.85050000000000003</v>
      </c>
      <c r="L97" s="419">
        <f>IF(C97=0,0,(C97*(1+'Infos FoFö'!$C$65+'Infos FoFö'!$C$67)+'Infos FoFö'!$C$68+'Infos FoFö'!$C$69)*(1+$J97/12))</f>
        <v>3862.7699109896666</v>
      </c>
      <c r="M97" s="414">
        <f>IF(D97=0,0,(D97*(1+'Infos FoFö'!$C$65+'Infos FoFö'!$C$67)+'Infos FoFö'!$C$68+'Infos FoFö'!$C$69)*(1+$K97/12))</f>
        <v>3962.7518573256252</v>
      </c>
      <c r="N97" s="414">
        <f>IF(E97=0,0,(E97*(1+'Infos FoFö'!$C$65+'Infos FoFö'!$C$67)+'Infos FoFö'!$C$68+'Infos FoFö'!$C$69)*(1+$K97/12))</f>
        <v>4053.2128955816142</v>
      </c>
      <c r="O97" s="414">
        <f>IF(F97=0,0,(F97*(1+'Infos FoFö'!$C$65+'Infos FoFö'!$C$67)+'Infos FoFö'!$C$68+'Infos FoFö'!$C$69)*(1+$K97/12))</f>
        <v>4145.7545377174911</v>
      </c>
      <c r="P97" s="414">
        <f>IF(G97=0,0,(G97*(1+'Infos FoFö'!$C$65+'Infos FoFö'!$C$67)+'Infos FoFö'!$C$68+'Infos FoFö'!$C$69)*(1+$K97/12))</f>
        <v>4240.4246376224928</v>
      </c>
      <c r="Q97" s="414">
        <f>IF(H97=0,0,(H97*(1+'Infos FoFö'!$C$65+'Infos FoFö'!$C$67)+'Infos FoFö'!$C$68+'Infos FoFö'!$C$69)*(1+$K97/12))</f>
        <v>4337.2721498253095</v>
      </c>
      <c r="R97" s="414">
        <f>IF(I97=0,0,(I97*(1+'Infos FoFö'!$C$65+'Infos FoFö'!$C$67)+'Infos FoFö'!$C$68+'Infos FoFö'!$C$69)*(1+$K97/12))</f>
        <v>4436.3471548087909</v>
      </c>
      <c r="S97" s="422">
        <f t="shared" si="94"/>
        <v>2.7787081328550151E-2</v>
      </c>
    </row>
    <row r="98" spans="1:19" x14ac:dyDescent="0.35">
      <c r="A98" s="76" t="s">
        <v>87</v>
      </c>
      <c r="B98" s="20">
        <v>3</v>
      </c>
      <c r="C98" s="85">
        <v>2668.44</v>
      </c>
      <c r="D98" s="77">
        <v>2743.16</v>
      </c>
      <c r="E98" s="414">
        <f t="shared" ref="E98:I98" si="98">D98*(1+E$3)</f>
        <v>2806.2526799999996</v>
      </c>
      <c r="F98" s="414">
        <f t="shared" si="98"/>
        <v>2870.7964916399992</v>
      </c>
      <c r="G98" s="414">
        <f t="shared" si="98"/>
        <v>2936.824810947719</v>
      </c>
      <c r="H98" s="414">
        <f t="shared" si="98"/>
        <v>3004.3717815995165</v>
      </c>
      <c r="I98" s="415">
        <f t="shared" si="98"/>
        <v>3073.4723325763052</v>
      </c>
      <c r="J98" s="78">
        <v>0.87429999999999997</v>
      </c>
      <c r="K98" s="78">
        <v>0.85050000000000003</v>
      </c>
      <c r="L98" s="419">
        <f>IF(C98=0,0,(C98*(1+'Infos FoFö'!$C$65+'Infos FoFö'!$C$67)+'Infos FoFö'!$C$68+'Infos FoFö'!$C$69)*(1+$J98/12))</f>
        <v>3730.677972973584</v>
      </c>
      <c r="M98" s="414">
        <f>IF(D98=0,0,(D98*(1+'Infos FoFö'!$C$65+'Infos FoFö'!$C$67)+'Infos FoFö'!$C$68+'Infos FoFö'!$C$69)*(1+$K98/12))</f>
        <v>3827.2216763787501</v>
      </c>
      <c r="N98" s="414">
        <f>IF(E98=0,0,(E98*(1+'Infos FoFö'!$C$65+'Infos FoFö'!$C$67)+'Infos FoFö'!$C$68+'Infos FoFö'!$C$69)*(1+$K98/12))</f>
        <v>3914.5655204729615</v>
      </c>
      <c r="O98" s="414">
        <f>IF(F98=0,0,(F98*(1+'Infos FoFö'!$C$65+'Infos FoFö'!$C$67)+'Infos FoFö'!$C$68+'Infos FoFö'!$C$69)*(1+$K98/12))</f>
        <v>4003.9182729813388</v>
      </c>
      <c r="P98" s="414">
        <f>IF(G98=0,0,(G98*(1+'Infos FoFö'!$C$65+'Infos FoFö'!$C$67)+'Infos FoFö'!$C$68+'Infos FoFö'!$C$69)*(1+$K98/12))</f>
        <v>4095.3261387974094</v>
      </c>
      <c r="Q98" s="414">
        <f>IF(H98=0,0,(H98*(1+'Infos FoFö'!$C$65+'Infos FoFö'!$C$67)+'Infos FoFö'!$C$68+'Infos FoFö'!$C$69)*(1+$K98/12))</f>
        <v>4188.8363855272501</v>
      </c>
      <c r="R98" s="414">
        <f>IF(I98=0,0,(I98*(1+'Infos FoFö'!$C$65+'Infos FoFö'!$C$67)+'Infos FoFö'!$C$68+'Infos FoFö'!$C$69)*(1+$K98/12))</f>
        <v>4284.4973679318764</v>
      </c>
      <c r="S98" s="422">
        <f t="shared" si="94"/>
        <v>3.5406952562779648E-2</v>
      </c>
    </row>
    <row r="99" spans="1:19" x14ac:dyDescent="0.35">
      <c r="A99" s="76" t="s">
        <v>87</v>
      </c>
      <c r="B99" s="20">
        <v>2</v>
      </c>
      <c r="C99" s="85">
        <v>2608.91</v>
      </c>
      <c r="D99" s="77">
        <v>2681.96</v>
      </c>
      <c r="E99" s="414">
        <f t="shared" ref="E99:I99" si="99">D99*(1+E$3)</f>
        <v>2743.6450799999998</v>
      </c>
      <c r="F99" s="414">
        <f t="shared" si="99"/>
        <v>2806.7489168399993</v>
      </c>
      <c r="G99" s="414">
        <f t="shared" si="99"/>
        <v>2871.3041419273191</v>
      </c>
      <c r="H99" s="414">
        <f t="shared" si="99"/>
        <v>2937.344137191647</v>
      </c>
      <c r="I99" s="415">
        <f t="shared" si="99"/>
        <v>3004.9030523470547</v>
      </c>
      <c r="J99" s="78">
        <v>0.87429999999999997</v>
      </c>
      <c r="K99" s="78">
        <v>0.85050000000000003</v>
      </c>
      <c r="L99" s="419">
        <f>IF(C99=0,0,(C99*(1+'Infos FoFö'!$C$65+'Infos FoFö'!$C$67)+'Infos FoFö'!$C$68+'Infos FoFö'!$C$69)*(1+$J99/12))</f>
        <v>3648.1135770254791</v>
      </c>
      <c r="M99" s="414">
        <f>IF(D99=0,0,(D99*(1+'Infos FoFö'!$C$65+'Infos FoFö'!$C$67)+'Infos FoFö'!$C$68+'Infos FoFö'!$C$69)*(1+$K99/12))</f>
        <v>3742.4980086162504</v>
      </c>
      <c r="N99" s="414">
        <f>IF(E99=0,0,(E99*(1+'Infos FoFö'!$C$65+'Infos FoFö'!$C$67)+'Infos FoFö'!$C$68+'Infos FoFö'!$C$69)*(1+$K99/12))</f>
        <v>3827.8932083519244</v>
      </c>
      <c r="O99" s="414">
        <f>IF(F99=0,0,(F99*(1+'Infos FoFö'!$C$65+'Infos FoFö'!$C$67)+'Infos FoFö'!$C$68+'Infos FoFö'!$C$69)*(1+$K99/12))</f>
        <v>3915.2524976815175</v>
      </c>
      <c r="P99" s="414">
        <f>IF(G99=0,0,(G99*(1+'Infos FoFö'!$C$65+'Infos FoFö'!$C$67)+'Infos FoFö'!$C$68+'Infos FoFö'!$C$69)*(1+$K99/12))</f>
        <v>4004.6210506656921</v>
      </c>
      <c r="Q99" s="414">
        <f>IF(H99=0,0,(H99*(1+'Infos FoFö'!$C$65+'Infos FoFö'!$C$67)+'Infos FoFö'!$C$68+'Infos FoFö'!$C$69)*(1+$K99/12))</f>
        <v>4096.0450803685026</v>
      </c>
      <c r="R99" s="414">
        <f>IF(I99=0,0,(I99*(1+'Infos FoFö'!$C$65+'Infos FoFö'!$C$67)+'Infos FoFö'!$C$68+'Infos FoFö'!$C$69)*(1+$K99/12))</f>
        <v>4189.5718627544775</v>
      </c>
      <c r="S99" s="422">
        <f t="shared" si="94"/>
        <v>2.2632079348643662E-2</v>
      </c>
    </row>
    <row r="100" spans="1:19" ht="15" thickBot="1" x14ac:dyDescent="0.4">
      <c r="A100" s="79" t="s">
        <v>87</v>
      </c>
      <c r="B100" s="80">
        <v>1</v>
      </c>
      <c r="C100" s="86">
        <v>2401.5500000000002</v>
      </c>
      <c r="D100" s="81">
        <v>2468.79</v>
      </c>
      <c r="E100" s="416">
        <f t="shared" ref="E100:I100" si="100">D100*(1+E$3)</f>
        <v>2525.5721699999999</v>
      </c>
      <c r="F100" s="416">
        <f t="shared" si="100"/>
        <v>2583.6603299099997</v>
      </c>
      <c r="G100" s="416">
        <f t="shared" si="100"/>
        <v>2643.0845174979295</v>
      </c>
      <c r="H100" s="416">
        <f t="shared" si="100"/>
        <v>2703.8754614003815</v>
      </c>
      <c r="I100" s="417">
        <f t="shared" si="100"/>
        <v>2766.0645970125902</v>
      </c>
      <c r="J100" s="82">
        <v>0.87429999999999997</v>
      </c>
      <c r="K100" s="82">
        <v>0.85050000000000003</v>
      </c>
      <c r="L100" s="420">
        <f>IF(C100=0,0,(C100*(1+'Infos FoFö'!$C$65+'Infos FoFö'!$C$67)+'Infos FoFö'!$C$68+'Infos FoFö'!$C$69)*(1+$J100/12))</f>
        <v>3360.5181941294795</v>
      </c>
      <c r="M100" s="416">
        <f>IF(D100=0,0,(D100*(1+'Infos FoFö'!$C$65+'Infos FoFö'!$C$67)+'Infos FoFö'!$C$68+'Infos FoFö'!$C$69)*(1+$K100/12))</f>
        <v>3447.3910763134381</v>
      </c>
      <c r="N100" s="416">
        <f>IF(E100=0,0,(E100*(1+'Infos FoFö'!$C$65+'Infos FoFö'!$C$67)+'Infos FoFö'!$C$68+'Infos FoFö'!$C$69)*(1+$K100/12))</f>
        <v>3525.9988166061466</v>
      </c>
      <c r="O100" s="416">
        <f>IF(F100=0,0,(F100*(1+'Infos FoFö'!$C$65+'Infos FoFö'!$C$67)+'Infos FoFö'!$C$68+'Infos FoFö'!$C$69)*(1+$K100/12))</f>
        <v>3606.4145349255878</v>
      </c>
      <c r="P100" s="416">
        <f>IF(G100=0,0,(G100*(1+'Infos FoFö'!$C$65+'Infos FoFö'!$C$67)+'Infos FoFö'!$C$68+'Infos FoFö'!$C$69)*(1+$K100/12))</f>
        <v>3688.6798147663762</v>
      </c>
      <c r="Q100" s="416">
        <f>IF(H100=0,0,(H100*(1+'Infos FoFö'!$C$65+'Infos FoFö'!$C$67)+'Infos FoFö'!$C$68+'Infos FoFö'!$C$69)*(1+$K100/12))</f>
        <v>3772.8371960435024</v>
      </c>
      <c r="R100" s="416">
        <f>IF(I100=0,0,(I100*(1+'Infos FoFö'!$C$65+'Infos FoFö'!$C$67)+'Infos FoFö'!$C$68+'Infos FoFö'!$C$69)*(1+$K100/12))</f>
        <v>3858.9301970900028</v>
      </c>
      <c r="S100" s="422">
        <f t="shared" si="94"/>
        <v>8.5580665326675701E-2</v>
      </c>
    </row>
    <row r="101" spans="1:19" x14ac:dyDescent="0.35">
      <c r="A101" s="76" t="s">
        <v>88</v>
      </c>
      <c r="B101" s="20">
        <v>6</v>
      </c>
      <c r="C101" s="85">
        <v>2835.13</v>
      </c>
      <c r="D101" s="77">
        <v>2914.51</v>
      </c>
      <c r="E101" s="414">
        <f t="shared" ref="E101:I101" si="101">D101*(1+E$3)</f>
        <v>2981.5437299999999</v>
      </c>
      <c r="F101" s="414">
        <f t="shared" si="101"/>
        <v>3050.1192357899995</v>
      </c>
      <c r="G101" s="414">
        <f t="shared" si="101"/>
        <v>3120.2719782131694</v>
      </c>
      <c r="H101" s="414">
        <f t="shared" si="101"/>
        <v>3192.0382337120718</v>
      </c>
      <c r="I101" s="415">
        <f t="shared" si="101"/>
        <v>3265.4551130874493</v>
      </c>
      <c r="J101" s="78">
        <v>0.87429999999999997</v>
      </c>
      <c r="K101" s="78">
        <v>0.85050000000000003</v>
      </c>
      <c r="L101" s="419">
        <f>IF(C101=0,0,(C101*(1+'Infos FoFö'!$C$65+'Infos FoFö'!$C$67)+'Infos FoFö'!$C$68+'Infos FoFö'!$C$69)*(1+$J101/12))</f>
        <v>3961.8666032539381</v>
      </c>
      <c r="M101" s="414">
        <f>IF(D101=0,0,(D101*(1+'Infos FoFö'!$C$65+'Infos FoFö'!$C$67)+'Infos FoFö'!$C$68+'Infos FoFö'!$C$69)*(1+$K101/12))</f>
        <v>4064.4341023771885</v>
      </c>
      <c r="N101" s="414">
        <f>IF(E101=0,0,(E101*(1+'Infos FoFö'!$C$65+'Infos FoFö'!$C$67)+'Infos FoFö'!$C$68+'Infos FoFö'!$C$69)*(1+$K101/12))</f>
        <v>4157.2338322693631</v>
      </c>
      <c r="O101" s="414">
        <f>IF(F101=0,0,(F101*(1+'Infos FoFö'!$C$65+'Infos FoFö'!$C$67)+'Infos FoFö'!$C$68+'Infos FoFö'!$C$69)*(1+$K101/12))</f>
        <v>4252.1679559490576</v>
      </c>
      <c r="P101" s="414">
        <f>IF(G101=0,0,(G101*(1+'Infos FoFö'!$C$65+'Infos FoFö'!$C$67)+'Infos FoFö'!$C$68+'Infos FoFö'!$C$69)*(1+$K101/12))</f>
        <v>4349.2855644733863</v>
      </c>
      <c r="Q101" s="414">
        <f>IF(H101=0,0,(H101*(1+'Infos FoFö'!$C$65+'Infos FoFö'!$C$67)+'Infos FoFö'!$C$68+'Infos FoFö'!$C$69)*(1+$K101/12))</f>
        <v>4448.6368779937729</v>
      </c>
      <c r="R101" s="414">
        <f>IF(I101=0,0,(I101*(1+'Infos FoFö'!$C$65+'Infos FoFö'!$C$67)+'Infos FoFö'!$C$68+'Infos FoFö'!$C$69)*(1+$K101/12))</f>
        <v>4550.2732717251292</v>
      </c>
      <c r="S101" s="421">
        <f t="shared" si="94"/>
        <v>0</v>
      </c>
    </row>
    <row r="102" spans="1:19" x14ac:dyDescent="0.35">
      <c r="A102" s="76" t="s">
        <v>88</v>
      </c>
      <c r="B102" s="20">
        <v>5</v>
      </c>
      <c r="C102" s="85">
        <v>2745.84</v>
      </c>
      <c r="D102" s="77">
        <v>2822.72</v>
      </c>
      <c r="E102" s="414">
        <f t="shared" ref="E102:I102" si="102">D102*(1+E$3)</f>
        <v>2887.6425599999993</v>
      </c>
      <c r="F102" s="414">
        <f t="shared" si="102"/>
        <v>2954.0583388799992</v>
      </c>
      <c r="G102" s="414">
        <f t="shared" si="102"/>
        <v>3022.0016806742387</v>
      </c>
      <c r="H102" s="414">
        <f t="shared" si="102"/>
        <v>3091.5077193297461</v>
      </c>
      <c r="I102" s="415">
        <f t="shared" si="102"/>
        <v>3162.61239687433</v>
      </c>
      <c r="J102" s="78">
        <v>0.87429999999999997</v>
      </c>
      <c r="K102" s="78">
        <v>0.85050000000000003</v>
      </c>
      <c r="L102" s="419">
        <f>IF(C102=0,0,(C102*(1+'Infos FoFö'!$C$65+'Infos FoFö'!$C$67)+'Infos FoFö'!$C$68+'Infos FoFö'!$C$69)*(1+$J102/12))</f>
        <v>3838.0269440198335</v>
      </c>
      <c r="M102" s="414">
        <f>IF(D102=0,0,(D102*(1+'Infos FoFö'!$C$65+'Infos FoFö'!$C$67)+'Infos FoFö'!$C$68+'Infos FoFö'!$C$69)*(1+$K102/12))</f>
        <v>3937.3624444700004</v>
      </c>
      <c r="N102" s="414">
        <f>IF(E102=0,0,(E102*(1+'Infos FoFö'!$C$65+'Infos FoFö'!$C$67)+'Infos FoFö'!$C$68+'Infos FoFö'!$C$69)*(1+$K102/12))</f>
        <v>4027.2395262303098</v>
      </c>
      <c r="O102" s="414">
        <f>IF(F102=0,0,(F102*(1+'Infos FoFö'!$C$65+'Infos FoFö'!$C$67)+'Infos FoFö'!$C$68+'Infos FoFö'!$C$69)*(1+$K102/12))</f>
        <v>4119.183780871107</v>
      </c>
      <c r="P102" s="414">
        <f>IF(G102=0,0,(G102*(1+'Infos FoFö'!$C$65+'Infos FoFö'!$C$67)+'Infos FoFö'!$C$68+'Infos FoFö'!$C$69)*(1+$K102/12))</f>
        <v>4213.2427533686414</v>
      </c>
      <c r="Q102" s="414">
        <f>IF(H102=0,0,(H102*(1+'Infos FoFö'!$C$65+'Infos FoFö'!$C$67)+'Infos FoFö'!$C$68+'Infos FoFö'!$C$69)*(1+$K102/12))</f>
        <v>4309.4650822336198</v>
      </c>
      <c r="R102" s="414">
        <f>IF(I102=0,0,(I102*(1+'Infos FoFö'!$C$65+'Infos FoFö'!$C$67)+'Infos FoFö'!$C$68+'Infos FoFö'!$C$69)*(1+$K102/12))</f>
        <v>4407.9005246624929</v>
      </c>
      <c r="S102" s="422">
        <f t="shared" si="94"/>
        <v>3.22664903192156E-2</v>
      </c>
    </row>
    <row r="103" spans="1:19" x14ac:dyDescent="0.35">
      <c r="A103" s="76" t="s">
        <v>88</v>
      </c>
      <c r="B103" s="20">
        <v>4</v>
      </c>
      <c r="C103" s="85">
        <v>2680.36</v>
      </c>
      <c r="D103" s="77">
        <v>2755.41</v>
      </c>
      <c r="E103" s="414">
        <f t="shared" ref="E103:I103" si="103">D103*(1+E$3)</f>
        <v>2818.7844299999997</v>
      </c>
      <c r="F103" s="414">
        <f t="shared" si="103"/>
        <v>2883.6164718899995</v>
      </c>
      <c r="G103" s="414">
        <f t="shared" si="103"/>
        <v>2949.9396507434694</v>
      </c>
      <c r="H103" s="414">
        <f t="shared" si="103"/>
        <v>3017.7882627105691</v>
      </c>
      <c r="I103" s="415">
        <f t="shared" si="103"/>
        <v>3087.197392752912</v>
      </c>
      <c r="J103" s="78">
        <v>0.87429999999999997</v>
      </c>
      <c r="K103" s="78">
        <v>0.85050000000000003</v>
      </c>
      <c r="L103" s="419">
        <f>IF(C103=0,0,(C103*(1+'Infos FoFö'!$C$65+'Infos FoFö'!$C$67)+'Infos FoFö'!$C$68+'Infos FoFö'!$C$69)*(1+$J103/12))</f>
        <v>3747.2102692897506</v>
      </c>
      <c r="M103" s="414">
        <f>IF(D103=0,0,(D103*(1+'Infos FoFö'!$C$65+'Infos FoFö'!$C$67)+'Infos FoFö'!$C$68+'Infos FoFö'!$C$69)*(1+$K103/12))</f>
        <v>3844.1802536678128</v>
      </c>
      <c r="N103" s="414">
        <f>IF(E103=0,0,(E103*(1+'Infos FoFö'!$C$65+'Infos FoFö'!$C$67)+'Infos FoFö'!$C$68+'Infos FoFö'!$C$69)*(1+$K103/12))</f>
        <v>3931.9141450396723</v>
      </c>
      <c r="O103" s="414">
        <f>IF(F103=0,0,(F103*(1+'Infos FoFö'!$C$65+'Infos FoFö'!$C$67)+'Infos FoFö'!$C$68+'Infos FoFö'!$C$69)*(1+$K103/12))</f>
        <v>4021.6659159130845</v>
      </c>
      <c r="P103" s="414">
        <f>IF(G103=0,0,(G103*(1+'Infos FoFö'!$C$65+'Infos FoFö'!$C$67)+'Infos FoFö'!$C$68+'Infos FoFö'!$C$69)*(1+$K103/12))</f>
        <v>4113.4819775165852</v>
      </c>
      <c r="Q103" s="414">
        <f>IF(H103=0,0,(H103*(1+'Infos FoFö'!$C$65+'Infos FoFö'!$C$67)+'Infos FoFö'!$C$68+'Infos FoFö'!$C$69)*(1+$K103/12))</f>
        <v>4207.4098085369669</v>
      </c>
      <c r="R103" s="414">
        <f>IF(I103=0,0,(I103*(1+'Infos FoFö'!$C$65+'Infos FoFö'!$C$67)+'Infos FoFö'!$C$68+'Infos FoFö'!$C$69)*(1+$K103/12))</f>
        <v>4303.4979796708167</v>
      </c>
      <c r="S103" s="422">
        <f t="shared" si="94"/>
        <v>2.4235809629998797E-2</v>
      </c>
    </row>
    <row r="104" spans="1:19" x14ac:dyDescent="0.35">
      <c r="A104" s="76" t="s">
        <v>88</v>
      </c>
      <c r="B104" s="20">
        <v>3</v>
      </c>
      <c r="C104" s="85">
        <v>2585.1</v>
      </c>
      <c r="D104" s="77">
        <v>2657.48</v>
      </c>
      <c r="E104" s="414">
        <f t="shared" ref="E104:I104" si="104">D104*(1+E$3)</f>
        <v>2718.6020399999998</v>
      </c>
      <c r="F104" s="414">
        <f t="shared" si="104"/>
        <v>2781.1298869199995</v>
      </c>
      <c r="G104" s="414">
        <f t="shared" si="104"/>
        <v>2845.0958743191591</v>
      </c>
      <c r="H104" s="414">
        <f t="shared" si="104"/>
        <v>2910.5330794284996</v>
      </c>
      <c r="I104" s="415">
        <f t="shared" si="104"/>
        <v>2977.4753402553547</v>
      </c>
      <c r="J104" s="78">
        <v>0.87429999999999997</v>
      </c>
      <c r="K104" s="78">
        <v>0.85050000000000003</v>
      </c>
      <c r="L104" s="419">
        <f>IF(C104=0,0,(C104*(1+'Infos FoFö'!$C$65+'Infos FoFö'!$C$67)+'Infos FoFö'!$C$68+'Infos FoFö'!$C$69)*(1+$J104/12))</f>
        <v>3615.0905925214583</v>
      </c>
      <c r="M104" s="414">
        <f>IF(D104=0,0,(D104*(1+'Infos FoFö'!$C$65+'Infos FoFö'!$C$67)+'Infos FoFö'!$C$68+'Infos FoFö'!$C$69)*(1+$K104/12))</f>
        <v>3708.6085415112507</v>
      </c>
      <c r="N104" s="414">
        <f>IF(E104=0,0,(E104*(1+'Infos FoFö'!$C$65+'Infos FoFö'!$C$67)+'Infos FoFö'!$C$68+'Infos FoFö'!$C$69)*(1+$K104/12))</f>
        <v>3793.224283503509</v>
      </c>
      <c r="O104" s="414">
        <f>IF(F104=0,0,(F104*(1+'Infos FoFö'!$C$65+'Infos FoFö'!$C$67)+'Infos FoFö'!$C$68+'Infos FoFö'!$C$69)*(1+$K104/12))</f>
        <v>3879.7861875615895</v>
      </c>
      <c r="P104" s="414">
        <f>IF(G104=0,0,(G104*(1+'Infos FoFö'!$C$65+'Infos FoFö'!$C$67)+'Infos FoFö'!$C$68+'Infos FoFö'!$C$69)*(1+$K104/12))</f>
        <v>3968.3390154130052</v>
      </c>
      <c r="Q104" s="414">
        <f>IF(H104=0,0,(H104*(1+'Infos FoFö'!$C$65+'Infos FoFö'!$C$67)+'Infos FoFö'!$C$68+'Infos FoFö'!$C$69)*(1+$K104/12))</f>
        <v>4058.9285583050041</v>
      </c>
      <c r="R104" s="414">
        <f>IF(I104=0,0,(I104*(1+'Infos FoFö'!$C$65+'Infos FoFö'!$C$67)+'Infos FoFö'!$C$68+'Infos FoFö'!$C$69)*(1+$K104/12))</f>
        <v>4151.6016606835192</v>
      </c>
      <c r="S104" s="422">
        <f t="shared" si="94"/>
        <v>3.6546712561397042E-2</v>
      </c>
    </row>
    <row r="105" spans="1:19" x14ac:dyDescent="0.35">
      <c r="A105" s="76" t="s">
        <v>88</v>
      </c>
      <c r="B105" s="20">
        <v>2</v>
      </c>
      <c r="C105" s="85">
        <v>2507.71</v>
      </c>
      <c r="D105" s="77">
        <v>2577.9299999999998</v>
      </c>
      <c r="E105" s="414">
        <f t="shared" ref="E105:I105" si="105">D105*(1+E$3)</f>
        <v>2637.2223899999995</v>
      </c>
      <c r="F105" s="414">
        <f t="shared" si="105"/>
        <v>2697.8785049699991</v>
      </c>
      <c r="G105" s="414">
        <f t="shared" si="105"/>
        <v>2759.9297105843089</v>
      </c>
      <c r="H105" s="414">
        <f t="shared" si="105"/>
        <v>2823.4080939277478</v>
      </c>
      <c r="I105" s="415">
        <f t="shared" si="105"/>
        <v>2888.3464800880856</v>
      </c>
      <c r="J105" s="78">
        <v>0.87429999999999997</v>
      </c>
      <c r="K105" s="78">
        <v>0.85050000000000003</v>
      </c>
      <c r="L105" s="419">
        <f>IF(C105=0,0,(C105*(1+'Infos FoFö'!$C$65+'Infos FoFö'!$C$67)+'Infos FoFö'!$C$68+'Infos FoFö'!$C$69)*(1+$J105/12))</f>
        <v>3507.755490851313</v>
      </c>
      <c r="M105" s="414">
        <f>IF(D105=0,0,(D105*(1+'Infos FoFö'!$C$65+'Infos FoFö'!$C$67)+'Infos FoFö'!$C$68+'Infos FoFö'!$C$69)*(1+$K105/12))</f>
        <v>3598.4816171565626</v>
      </c>
      <c r="N105" s="414">
        <f>IF(E105=0,0,(E105*(1+'Infos FoFö'!$C$65+'Infos FoFö'!$C$67)+'Infos FoFö'!$C$68+'Infos FoFö'!$C$69)*(1+$K105/12))</f>
        <v>3680.5644398886634</v>
      </c>
      <c r="O105" s="414">
        <f>IF(F105=0,0,(F105*(1+'Infos FoFö'!$C$65+'Infos FoFö'!$C$67)+'Infos FoFö'!$C$68+'Infos FoFö'!$C$69)*(1+$K105/12))</f>
        <v>3764.5351675436018</v>
      </c>
      <c r="P105" s="414">
        <f>IF(G105=0,0,(G105*(1+'Infos FoFö'!$C$65+'Infos FoFö'!$C$67)+'Infos FoFö'!$C$68+'Infos FoFö'!$C$69)*(1+$K105/12))</f>
        <v>3850.4372219346046</v>
      </c>
      <c r="Q105" s="414">
        <f>IF(H105=0,0,(H105*(1+'Infos FoFö'!$C$65+'Infos FoFö'!$C$67)+'Infos FoFö'!$C$68+'Infos FoFö'!$C$69)*(1+$K105/12))</f>
        <v>3938.3150235766002</v>
      </c>
      <c r="R105" s="414">
        <f>IF(I105=0,0,(I105*(1+'Infos FoFö'!$C$65+'Infos FoFö'!$C$67)+'Infos FoFö'!$C$68+'Infos FoFö'!$C$69)*(1+$K105/12))</f>
        <v>4028.2140146563611</v>
      </c>
      <c r="S105" s="422">
        <f t="shared" si="94"/>
        <v>3.0599368157241694E-2</v>
      </c>
    </row>
    <row r="106" spans="1:19" ht="15" thickBot="1" x14ac:dyDescent="0.4">
      <c r="A106" s="76" t="s">
        <v>88</v>
      </c>
      <c r="B106" s="20">
        <v>1</v>
      </c>
      <c r="C106" s="85">
        <v>2305.31</v>
      </c>
      <c r="D106" s="77">
        <v>2369.86</v>
      </c>
      <c r="E106" s="414">
        <f t="shared" ref="E106:I106" si="106">D106*(1+E$3)</f>
        <v>2424.3667799999998</v>
      </c>
      <c r="F106" s="414">
        <f t="shared" si="106"/>
        <v>2480.1272159399996</v>
      </c>
      <c r="G106" s="414">
        <f t="shared" si="106"/>
        <v>2537.1701419066194</v>
      </c>
      <c r="H106" s="414">
        <f t="shared" si="106"/>
        <v>2595.5250551704712</v>
      </c>
      <c r="I106" s="415">
        <f t="shared" si="106"/>
        <v>2655.2221314393919</v>
      </c>
      <c r="J106" s="78">
        <v>0.87429999999999997</v>
      </c>
      <c r="K106" s="78">
        <v>0.85050000000000003</v>
      </c>
      <c r="L106" s="419">
        <f>IF(C106=0,0,(C106*(1+'Infos FoFö'!$C$65+'Infos FoFö'!$C$67)+'Infos FoFö'!$C$68+'Infos FoFö'!$C$69)*(1+$J106/12))</f>
        <v>3227.0393185029789</v>
      </c>
      <c r="M106" s="414">
        <f>IF(D106=0,0,(D106*(1+'Infos FoFö'!$C$65+'Infos FoFö'!$C$67)+'Infos FoFö'!$C$68+'Infos FoFö'!$C$69)*(1+$K106/12))</f>
        <v>3310.4349905006256</v>
      </c>
      <c r="N106" s="414">
        <f>IF(E106=0,0,(E106*(1+'Infos FoFö'!$C$65+'Infos FoFö'!$C$67)+'Infos FoFö'!$C$68+'Infos FoFö'!$C$69)*(1+$K106/12))</f>
        <v>3385.8927408196396</v>
      </c>
      <c r="O106" s="414">
        <f>IF(F106=0,0,(F106*(1+'Infos FoFö'!$C$65+'Infos FoFö'!$C$67)+'Infos FoFö'!$C$68+'Infos FoFö'!$C$69)*(1+$K106/12))</f>
        <v>3463.0860193959911</v>
      </c>
      <c r="P106" s="414">
        <f>IF(G106=0,0,(G106*(1+'Infos FoFö'!$C$65+'Infos FoFö'!$C$67)+'Infos FoFö'!$C$68+'Infos FoFö'!$C$69)*(1+$K106/12))</f>
        <v>3542.0547433795987</v>
      </c>
      <c r="Q106" s="414">
        <f>IF(H106=0,0,(H106*(1+'Infos FoFö'!$C$65+'Infos FoFö'!$C$67)+'Infos FoFö'!$C$68+'Infos FoFö'!$C$69)*(1+$K106/12))</f>
        <v>3622.8397480148287</v>
      </c>
      <c r="R106" s="414">
        <f>IF(I106=0,0,(I106*(1+'Infos FoFö'!$C$65+'Infos FoFö'!$C$67)+'Infos FoFö'!$C$68+'Infos FoFö'!$C$69)*(1+$K106/12))</f>
        <v>3705.4828077566694</v>
      </c>
      <c r="S106" s="423">
        <f t="shared" si="94"/>
        <v>8.6988767300969272E-2</v>
      </c>
    </row>
    <row r="107" spans="1:19" x14ac:dyDescent="0.35">
      <c r="A107" s="87" t="s">
        <v>89</v>
      </c>
      <c r="B107" s="88">
        <v>6</v>
      </c>
      <c r="C107" s="89">
        <v>2835.13</v>
      </c>
      <c r="D107" s="90">
        <v>2914.51</v>
      </c>
      <c r="E107" s="412">
        <f t="shared" ref="E107:I107" si="107">D107*(1+E$3)</f>
        <v>2981.5437299999999</v>
      </c>
      <c r="F107" s="412">
        <f t="shared" si="107"/>
        <v>3050.1192357899995</v>
      </c>
      <c r="G107" s="412">
        <f t="shared" si="107"/>
        <v>3120.2719782131694</v>
      </c>
      <c r="H107" s="412">
        <f t="shared" si="107"/>
        <v>3192.0382337120718</v>
      </c>
      <c r="I107" s="413">
        <f t="shared" si="107"/>
        <v>3265.4551130874493</v>
      </c>
      <c r="J107" s="91">
        <v>0.87429999999999997</v>
      </c>
      <c r="K107" s="91">
        <v>0.85050000000000003</v>
      </c>
      <c r="L107" s="418">
        <f>IF(C107=0,0,(C107*(1+'Infos FoFö'!$C$65+'Infos FoFö'!$C$67)+'Infos FoFö'!$C$68+'Infos FoFö'!$C$69)*(1+$J107/12))</f>
        <v>3961.8666032539381</v>
      </c>
      <c r="M107" s="412">
        <f>IF(D107=0,0,(D107*(1+'Infos FoFö'!$C$65+'Infos FoFö'!$C$67)+'Infos FoFö'!$C$68+'Infos FoFö'!$C$69)*(1+$K107/12))</f>
        <v>4064.4341023771885</v>
      </c>
      <c r="N107" s="412">
        <f>IF(E107=0,0,(E107*(1+'Infos FoFö'!$C$65+'Infos FoFö'!$C$67)+'Infos FoFö'!$C$68+'Infos FoFö'!$C$69)*(1+$K107/12))</f>
        <v>4157.2338322693631</v>
      </c>
      <c r="O107" s="412">
        <f>IF(F107=0,0,(F107*(1+'Infos FoFö'!$C$65+'Infos FoFö'!$C$67)+'Infos FoFö'!$C$68+'Infos FoFö'!$C$69)*(1+$K107/12))</f>
        <v>4252.1679559490576</v>
      </c>
      <c r="P107" s="412">
        <f>IF(G107=0,0,(G107*(1+'Infos FoFö'!$C$65+'Infos FoFö'!$C$67)+'Infos FoFö'!$C$68+'Infos FoFö'!$C$69)*(1+$K107/12))</f>
        <v>4349.2855644733863</v>
      </c>
      <c r="Q107" s="412">
        <f>IF(H107=0,0,(H107*(1+'Infos FoFö'!$C$65+'Infos FoFö'!$C$67)+'Infos FoFö'!$C$68+'Infos FoFö'!$C$69)*(1+$K107/12))</f>
        <v>4448.6368779937729</v>
      </c>
      <c r="R107" s="412">
        <f>IF(I107=0,0,(I107*(1+'Infos FoFö'!$C$65+'Infos FoFö'!$C$67)+'Infos FoFö'!$C$68+'Infos FoFö'!$C$69)*(1+$K107/12))</f>
        <v>4550.2732717251292</v>
      </c>
      <c r="S107" s="422">
        <f t="shared" si="94"/>
        <v>0</v>
      </c>
    </row>
    <row r="108" spans="1:19" x14ac:dyDescent="0.35">
      <c r="A108" s="76" t="s">
        <v>89</v>
      </c>
      <c r="B108" s="20">
        <v>5</v>
      </c>
      <c r="C108" s="85">
        <v>2692.24</v>
      </c>
      <c r="D108" s="77">
        <v>2767.62</v>
      </c>
      <c r="E108" s="414">
        <f t="shared" ref="E108:I108" si="108">D108*(1+E$3)</f>
        <v>2831.2752599999994</v>
      </c>
      <c r="F108" s="414">
        <f t="shared" si="108"/>
        <v>2896.3945909799991</v>
      </c>
      <c r="G108" s="414">
        <f t="shared" si="108"/>
        <v>2963.0116665725386</v>
      </c>
      <c r="H108" s="414">
        <f t="shared" si="108"/>
        <v>3031.1609349037067</v>
      </c>
      <c r="I108" s="415">
        <f t="shared" si="108"/>
        <v>3100.8776364064915</v>
      </c>
      <c r="J108" s="78">
        <v>0.87429999999999997</v>
      </c>
      <c r="K108" s="78">
        <v>0.85050000000000003</v>
      </c>
      <c r="L108" s="419">
        <f>IF(C108=0,0,(C108*(1+'Infos FoFö'!$C$65+'Infos FoFö'!$C$67)+'Infos FoFö'!$C$68+'Infos FoFö'!$C$69)*(1+$J108/12))</f>
        <v>3763.6870881014997</v>
      </c>
      <c r="M108" s="414">
        <f>IF(D108=0,0,(D108*(1+'Infos FoFö'!$C$65+'Infos FoFö'!$C$67)+'Infos FoFö'!$C$68+'Infos FoFö'!$C$69)*(1+$K108/12))</f>
        <v>3861.0834560106255</v>
      </c>
      <c r="N108" s="414">
        <f>IF(E108=0,0,(E108*(1+'Infos FoFö'!$C$65+'Infos FoFö'!$C$67)+'Infos FoFö'!$C$68+'Infos FoFö'!$C$69)*(1+$K108/12))</f>
        <v>3949.206121036369</v>
      </c>
      <c r="O108" s="414">
        <f>IF(F108=0,0,(F108*(1+'Infos FoFö'!$C$65+'Infos FoFö'!$C$67)+'Infos FoFö'!$C$68+'Infos FoFö'!$C$69)*(1+$K108/12))</f>
        <v>4039.3556073577051</v>
      </c>
      <c r="P108" s="414">
        <f>IF(G108=0,0,(G108*(1+'Infos FoFö'!$C$65+'Infos FoFö'!$C$67)+'Infos FoFö'!$C$68+'Infos FoFö'!$C$69)*(1+$K108/12))</f>
        <v>4131.5785318644321</v>
      </c>
      <c r="Q108" s="414">
        <f>IF(H108=0,0,(H108*(1+'Infos FoFö'!$C$65+'Infos FoFö'!$C$67)+'Infos FoFö'!$C$68+'Infos FoFö'!$C$69)*(1+$K108/12))</f>
        <v>4225.9225836348132</v>
      </c>
      <c r="R108" s="414">
        <f>IF(I108=0,0,(I108*(1+'Infos FoFö'!$C$65+'Infos FoFö'!$C$67)+'Infos FoFö'!$C$68+'Infos FoFö'!$C$69)*(1+$K108/12))</f>
        <v>4322.4365485959133</v>
      </c>
      <c r="S108" s="422">
        <f t="shared" si="94"/>
        <v>5.2655683247144022E-2</v>
      </c>
    </row>
    <row r="109" spans="1:19" x14ac:dyDescent="0.35">
      <c r="A109" s="76" t="s">
        <v>89</v>
      </c>
      <c r="B109" s="20">
        <v>4</v>
      </c>
      <c r="C109" s="85">
        <v>2555.33</v>
      </c>
      <c r="D109" s="77">
        <v>2626.88</v>
      </c>
      <c r="E109" s="414">
        <f t="shared" ref="E109:I109" si="109">D109*(1+E$3)</f>
        <v>2687.2982400000001</v>
      </c>
      <c r="F109" s="414">
        <f t="shared" si="109"/>
        <v>2749.10609952</v>
      </c>
      <c r="G109" s="414">
        <f t="shared" si="109"/>
        <v>2812.3355398089598</v>
      </c>
      <c r="H109" s="414">
        <f t="shared" si="109"/>
        <v>2877.0192572245655</v>
      </c>
      <c r="I109" s="415">
        <f t="shared" si="109"/>
        <v>2943.1907001407303</v>
      </c>
      <c r="J109" s="78">
        <v>0.87429999999999997</v>
      </c>
      <c r="K109" s="78">
        <v>0.85050000000000003</v>
      </c>
      <c r="L109" s="419">
        <f>IF(C109=0,0,(C109*(1+'Infos FoFö'!$C$65+'Infos FoFö'!$C$67)+'Infos FoFö'!$C$68+'Infos FoFö'!$C$69)*(1+$J109/12))</f>
        <v>3573.8014598593545</v>
      </c>
      <c r="M109" s="414">
        <f>IF(D109=0,0,(D109*(1+'Infos FoFö'!$C$65+'Infos FoFö'!$C$67)+'Infos FoFö'!$C$68+'Infos FoFö'!$C$69)*(1+$K109/12))</f>
        <v>3666.2467076300009</v>
      </c>
      <c r="N109" s="414">
        <f>IF(E109=0,0,(E109*(1+'Infos FoFö'!$C$65+'Infos FoFö'!$C$67)+'Infos FoFö'!$C$68+'Infos FoFö'!$C$69)*(1+$K109/12))</f>
        <v>3749.8881274429909</v>
      </c>
      <c r="O109" s="414">
        <f>IF(F109=0,0,(F109*(1+'Infos FoFö'!$C$65+'Infos FoFö'!$C$67)+'Infos FoFö'!$C$68+'Infos FoFö'!$C$69)*(1+$K109/12))</f>
        <v>3835.4532999116791</v>
      </c>
      <c r="P109" s="414">
        <f>IF(G109=0,0,(G109*(1+'Infos FoFö'!$C$65+'Infos FoFö'!$C$67)+'Infos FoFö'!$C$68+'Infos FoFö'!$C$69)*(1+$K109/12))</f>
        <v>3922.9864713471479</v>
      </c>
      <c r="Q109" s="414">
        <f>IF(H109=0,0,(H109*(1+'Infos FoFö'!$C$65+'Infos FoFö'!$C$67)+'Infos FoFö'!$C$68+'Infos FoFö'!$C$69)*(1+$K109/12))</f>
        <v>4012.5329057256313</v>
      </c>
      <c r="R109" s="414">
        <f>IF(I109=0,0,(I109*(1+'Infos FoFö'!$C$65+'Infos FoFö'!$C$67)+'Infos FoFö'!$C$68+'Infos FoFö'!$C$69)*(1+$K109/12))</f>
        <v>4104.1389080948211</v>
      </c>
      <c r="S109" s="422">
        <f t="shared" si="94"/>
        <v>5.3132674093657711E-2</v>
      </c>
    </row>
    <row r="110" spans="1:19" x14ac:dyDescent="0.35">
      <c r="A110" s="76" t="s">
        <v>89</v>
      </c>
      <c r="B110" s="20">
        <v>3</v>
      </c>
      <c r="C110" s="85">
        <v>2495.81</v>
      </c>
      <c r="D110" s="77">
        <v>2565.69</v>
      </c>
      <c r="E110" s="414">
        <f t="shared" ref="E110:I110" si="110">D110*(1+E$3)</f>
        <v>2624.7008699999997</v>
      </c>
      <c r="F110" s="414">
        <f t="shared" si="110"/>
        <v>2685.0689900099992</v>
      </c>
      <c r="G110" s="414">
        <f t="shared" si="110"/>
        <v>2746.8255767802289</v>
      </c>
      <c r="H110" s="414">
        <f t="shared" si="110"/>
        <v>2810.0025650461739</v>
      </c>
      <c r="I110" s="415">
        <f t="shared" si="110"/>
        <v>2874.6326240422359</v>
      </c>
      <c r="J110" s="78">
        <v>0.87429999999999997</v>
      </c>
      <c r="K110" s="78">
        <v>0.85050000000000003</v>
      </c>
      <c r="L110" s="419">
        <f>IF(C110=0,0,(C110*(1+'Infos FoFö'!$C$65+'Infos FoFö'!$C$67)+'Infos FoFö'!$C$68+'Infos FoFö'!$C$69)*(1+$J110/12))</f>
        <v>3491.2509332873542</v>
      </c>
      <c r="M110" s="414">
        <f>IF(D110=0,0,(D110*(1+'Infos FoFö'!$C$65+'Infos FoFö'!$C$67)+'Infos FoFö'!$C$68+'Infos FoFö'!$C$69)*(1+$K110/12))</f>
        <v>3581.536883604063</v>
      </c>
      <c r="N110" s="414">
        <f>IF(E110=0,0,(E110*(1+'Infos FoFö'!$C$65+'Infos FoFö'!$C$67)+'Infos FoFö'!$C$68+'Infos FoFö'!$C$69)*(1+$K110/12))</f>
        <v>3663.2299774644562</v>
      </c>
      <c r="O110" s="414">
        <f>IF(F110=0,0,(F110*(1+'Infos FoFö'!$C$65+'Infos FoFö'!$C$67)+'Infos FoFö'!$C$68+'Infos FoFö'!$C$69)*(1+$K110/12))</f>
        <v>3746.802012483638</v>
      </c>
      <c r="P110" s="414">
        <f>IF(G110=0,0,(G110*(1+'Infos FoFö'!$C$65+'Infos FoFö'!$C$67)+'Infos FoFö'!$C$68+'Infos FoFö'!$C$69)*(1+$K110/12))</f>
        <v>3832.2962043082612</v>
      </c>
      <c r="Q110" s="414">
        <f>IF(H110=0,0,(H110*(1+'Infos FoFö'!$C$65+'Infos FoFö'!$C$67)+'Infos FoFö'!$C$68+'Infos FoFö'!$C$69)*(1+$K110/12))</f>
        <v>3919.7567625448505</v>
      </c>
      <c r="R110" s="414">
        <f>IF(I110=0,0,(I110*(1+'Infos FoFö'!$C$65+'Infos FoFö'!$C$67)+'Infos FoFö'!$C$68+'Infos FoFö'!$C$69)*(1+$K110/12))</f>
        <v>4009.2289136208819</v>
      </c>
      <c r="S110" s="422">
        <f t="shared" si="94"/>
        <v>2.3644970856984752E-2</v>
      </c>
    </row>
    <row r="111" spans="1:19" x14ac:dyDescent="0.35">
      <c r="A111" s="76" t="s">
        <v>89</v>
      </c>
      <c r="B111" s="20">
        <v>2</v>
      </c>
      <c r="C111" s="85">
        <v>2436.27</v>
      </c>
      <c r="D111" s="77">
        <v>2504.4899999999998</v>
      </c>
      <c r="E111" s="414">
        <f t="shared" ref="E111:I111" si="111">D111*(1+E$3)</f>
        <v>2562.0932699999994</v>
      </c>
      <c r="F111" s="414">
        <f t="shared" si="111"/>
        <v>2621.0214152099993</v>
      </c>
      <c r="G111" s="414">
        <f t="shared" si="111"/>
        <v>2681.3049077598289</v>
      </c>
      <c r="H111" s="414">
        <f t="shared" si="111"/>
        <v>2742.9749206383049</v>
      </c>
      <c r="I111" s="415">
        <f t="shared" si="111"/>
        <v>2806.0633438129857</v>
      </c>
      <c r="J111" s="78">
        <v>0.87429999999999997</v>
      </c>
      <c r="K111" s="78">
        <v>0.85050000000000003</v>
      </c>
      <c r="L111" s="419">
        <f>IF(C111=0,0,(C111*(1+'Infos FoFö'!$C$65+'Infos FoFö'!$C$67)+'Infos FoFö'!$C$68+'Infos FoFö'!$C$69)*(1+$J111/12))</f>
        <v>3408.6726679631461</v>
      </c>
      <c r="M111" s="414">
        <f>IF(D111=0,0,(D111*(1+'Infos FoFö'!$C$65+'Infos FoFö'!$C$67)+'Infos FoFö'!$C$68+'Infos FoFö'!$C$69)*(1+$K111/12))</f>
        <v>3496.8132158415624</v>
      </c>
      <c r="N111" s="414">
        <f>IF(E111=0,0,(E111*(1+'Infos FoFö'!$C$65+'Infos FoFö'!$C$67)+'Infos FoFö'!$C$68+'Infos FoFö'!$C$69)*(1+$K111/12))</f>
        <v>3576.5576653434182</v>
      </c>
      <c r="O111" s="414">
        <f>IF(F111=0,0,(F111*(1+'Infos FoFö'!$C$65+'Infos FoFö'!$C$67)+'Infos FoFö'!$C$68+'Infos FoFö'!$C$69)*(1+$K111/12))</f>
        <v>3658.1362371838163</v>
      </c>
      <c r="P111" s="414">
        <f>IF(G111=0,0,(G111*(1+'Infos FoFö'!$C$65+'Infos FoFö'!$C$67)+'Infos FoFö'!$C$68+'Infos FoFö'!$C$69)*(1+$K111/12))</f>
        <v>3741.5911161765439</v>
      </c>
      <c r="Q111" s="414">
        <f>IF(H111=0,0,(H111*(1+'Infos FoFö'!$C$65+'Infos FoFö'!$C$67)+'Infos FoFö'!$C$68+'Infos FoFö'!$C$69)*(1+$K111/12))</f>
        <v>3826.9654573861044</v>
      </c>
      <c r="R111" s="414">
        <f>IF(I111=0,0,(I111*(1+'Infos FoFö'!$C$65+'Infos FoFö'!$C$67)+'Infos FoFö'!$C$68+'Infos FoFö'!$C$69)*(1+$K111/12))</f>
        <v>3914.3034084434844</v>
      </c>
      <c r="S111" s="422">
        <f t="shared" si="94"/>
        <v>2.4225929963980031E-2</v>
      </c>
    </row>
    <row r="112" spans="1:19" ht="15" thickBot="1" x14ac:dyDescent="0.4">
      <c r="A112" s="79" t="s">
        <v>89</v>
      </c>
      <c r="B112" s="80">
        <v>1</v>
      </c>
      <c r="C112" s="86">
        <v>2240.12</v>
      </c>
      <c r="D112" s="81">
        <v>2302.84</v>
      </c>
      <c r="E112" s="416">
        <f t="shared" ref="E112:I112" si="112">D112*(1+E$3)</f>
        <v>2355.8053199999999</v>
      </c>
      <c r="F112" s="416">
        <f t="shared" si="112"/>
        <v>2409.9888423599996</v>
      </c>
      <c r="G112" s="416">
        <f t="shared" si="112"/>
        <v>2465.4185857342795</v>
      </c>
      <c r="H112" s="416">
        <f t="shared" si="112"/>
        <v>2522.1232132061677</v>
      </c>
      <c r="I112" s="417">
        <f t="shared" si="112"/>
        <v>2580.1320471099093</v>
      </c>
      <c r="J112" s="82">
        <v>0.87429999999999997</v>
      </c>
      <c r="K112" s="82">
        <v>0.85050000000000003</v>
      </c>
      <c r="L112" s="420">
        <f>IF(C112=0,0,(C112*(1+'Infos FoFö'!$C$65+'Infos FoFö'!$C$67)+'Infos FoFö'!$C$68+'Infos FoFö'!$C$69)*(1+$J112/12))</f>
        <v>3136.6248556799164</v>
      </c>
      <c r="M112" s="416">
        <f>IF(D112=0,0,(D112*(1+'Infos FoFö'!$C$65+'Infos FoFö'!$C$67)+'Infos FoFö'!$C$68+'Infos FoFö'!$C$69)*(1+$K112/12))</f>
        <v>3217.6542680587504</v>
      </c>
      <c r="N112" s="416">
        <f>IF(E112=0,0,(E112*(1+'Infos FoFö'!$C$65+'Infos FoFö'!$C$67)+'Infos FoFö'!$C$68+'Infos FoFö'!$C$69)*(1+$K112/12))</f>
        <v>3290.978061761602</v>
      </c>
      <c r="O112" s="416">
        <f>IF(F112=0,0,(F112*(1+'Infos FoFö'!$C$65+'Infos FoFö'!$C$67)+'Infos FoFö'!$C$68+'Infos FoFö'!$C$69)*(1+$K112/12))</f>
        <v>3365.9883027196179</v>
      </c>
      <c r="P112" s="416">
        <f>IF(G112=0,0,(G112*(1+'Infos FoFö'!$C$65+'Infos FoFö'!$C$67)+'Infos FoFö'!$C$68+'Infos FoFö'!$C$69)*(1+$K112/12))</f>
        <v>3442.7237792196693</v>
      </c>
      <c r="Q112" s="416">
        <f>IF(H112=0,0,(H112*(1+'Infos FoFö'!$C$65+'Infos FoFö'!$C$67)+'Infos FoFö'!$C$68+'Infos FoFö'!$C$69)*(1+$K112/12))</f>
        <v>3521.2241716792214</v>
      </c>
      <c r="R112" s="416">
        <f>IF(I112=0,0,(I112*(1+'Infos FoFö'!$C$65+'Infos FoFö'!$C$67)+'Infos FoFö'!$C$68+'Infos FoFö'!$C$69)*(1+$K112/12))</f>
        <v>3601.5300731653429</v>
      </c>
      <c r="S112" s="423">
        <f t="shared" si="94"/>
        <v>8.6732658446736263E-2</v>
      </c>
    </row>
    <row r="113" spans="1:19" x14ac:dyDescent="0.35">
      <c r="A113" s="76" t="s">
        <v>90</v>
      </c>
      <c r="B113" s="20">
        <v>6</v>
      </c>
      <c r="C113" s="85">
        <v>2227.92</v>
      </c>
      <c r="D113" s="77">
        <v>2290.3000000000002</v>
      </c>
      <c r="E113" s="414">
        <f t="shared" ref="E113:I113" si="113">D113*(1+E$3)</f>
        <v>2342.9769000000001</v>
      </c>
      <c r="F113" s="414">
        <f t="shared" si="113"/>
        <v>2396.8653687000001</v>
      </c>
      <c r="G113" s="414">
        <f t="shared" si="113"/>
        <v>2451.9932721800997</v>
      </c>
      <c r="H113" s="414">
        <f t="shared" si="113"/>
        <v>2508.3891174402415</v>
      </c>
      <c r="I113" s="415">
        <f t="shared" si="113"/>
        <v>2566.0820671413667</v>
      </c>
      <c r="J113" s="78">
        <v>0.87429999999999997</v>
      </c>
      <c r="K113" s="78">
        <v>0.85050000000000003</v>
      </c>
      <c r="L113" s="419">
        <f>IF(C113=0,0,(C113*(1+'Infos FoFö'!$C$65+'Infos FoFö'!$C$67)+'Infos FoFö'!$C$68+'Infos FoFö'!$C$69)*(1+$J113/12))</f>
        <v>3119.7042168328339</v>
      </c>
      <c r="M113" s="414">
        <f>IF(D113=0,0,(D113*(1+'Infos FoFö'!$C$65+'Infos FoFö'!$C$67)+'Infos FoFö'!$C$68+'Infos FoFö'!$C$69)*(1+$K113/12))</f>
        <v>3200.2942224093758</v>
      </c>
      <c r="N113" s="414">
        <f>IF(E113=0,0,(E113*(1+'Infos FoFö'!$C$65+'Infos FoFö'!$C$67)+'Infos FoFö'!$C$68+'Infos FoFö'!$C$69)*(1+$K113/12))</f>
        <v>3273.2187350622912</v>
      </c>
      <c r="O113" s="414">
        <f>IF(F113=0,0,(F113*(1+'Infos FoFö'!$C$65+'Infos FoFö'!$C$67)+'Infos FoFö'!$C$68+'Infos FoFö'!$C$69)*(1+$K113/12))</f>
        <v>3347.8205115062242</v>
      </c>
      <c r="P113" s="414">
        <f>IF(G113=0,0,(G113*(1+'Infos FoFö'!$C$65+'Infos FoFö'!$C$67)+'Infos FoFö'!$C$68+'Infos FoFö'!$C$69)*(1+$K113/12))</f>
        <v>3424.1381288083667</v>
      </c>
      <c r="Q113" s="414">
        <f>IF(H113=0,0,(H113*(1+'Infos FoFö'!$C$65+'Infos FoFö'!$C$67)+'Infos FoFö'!$C$68+'Infos FoFö'!$C$69)*(1+$K113/12))</f>
        <v>3502.2110513084585</v>
      </c>
      <c r="R113" s="414">
        <f>IF(I113=0,0,(I113*(1+'Infos FoFö'!$C$65+'Infos FoFö'!$C$67)+'Infos FoFö'!$C$68+'Infos FoFö'!$C$69)*(1+$K113/12))</f>
        <v>3582.079651026052</v>
      </c>
      <c r="S113" s="422">
        <f t="shared" si="94"/>
        <v>5.4237958700650672E-3</v>
      </c>
    </row>
    <row r="114" spans="1:19" x14ac:dyDescent="0.35">
      <c r="A114" s="76" t="s">
        <v>90</v>
      </c>
      <c r="B114" s="20">
        <v>5</v>
      </c>
      <c r="C114" s="85">
        <v>2138.63</v>
      </c>
      <c r="D114" s="77">
        <v>2198.5100000000002</v>
      </c>
      <c r="E114" s="414">
        <f t="shared" ref="E114:I114" si="114">D114*(1+E$3)</f>
        <v>2249.07573</v>
      </c>
      <c r="F114" s="414">
        <f t="shared" si="114"/>
        <v>2300.8044717899998</v>
      </c>
      <c r="G114" s="414">
        <f t="shared" si="114"/>
        <v>2353.7229746411695</v>
      </c>
      <c r="H114" s="414">
        <f t="shared" si="114"/>
        <v>2407.8586030579163</v>
      </c>
      <c r="I114" s="415">
        <f t="shared" si="114"/>
        <v>2463.2393509282483</v>
      </c>
      <c r="J114" s="78">
        <v>0.87429999999999997</v>
      </c>
      <c r="K114" s="78">
        <v>0.85050000000000003</v>
      </c>
      <c r="L114" s="419">
        <f>IF(C114=0,0,(C114*(1+'Infos FoFö'!$C$65+'Infos FoFö'!$C$67)+'Infos FoFö'!$C$68+'Infos FoFö'!$C$69)*(1+$J114/12))</f>
        <v>2995.8645575987293</v>
      </c>
      <c r="M114" s="414">
        <f>IF(D114=0,0,(D114*(1+'Infos FoFö'!$C$65+'Infos FoFö'!$C$67)+'Infos FoFö'!$C$68+'Infos FoFö'!$C$69)*(1+$K114/12))</f>
        <v>3073.2225645021881</v>
      </c>
      <c r="N114" s="414">
        <f>IF(E114=0,0,(E114*(1+'Infos FoFö'!$C$65+'Infos FoFö'!$C$67)+'Infos FoFö'!$C$68+'Infos FoFö'!$C$69)*(1+$K114/12))</f>
        <v>3143.2244290232384</v>
      </c>
      <c r="O114" s="414">
        <f>IF(F114=0,0,(F114*(1+'Infos FoFö'!$C$65+'Infos FoFö'!$C$67)+'Infos FoFö'!$C$68+'Infos FoFö'!$C$69)*(1+$K114/12))</f>
        <v>3214.8363364282723</v>
      </c>
      <c r="P114" s="414">
        <f>IF(G114=0,0,(G114*(1+'Infos FoFö'!$C$65+'Infos FoFö'!$C$67)+'Infos FoFö'!$C$68+'Infos FoFö'!$C$69)*(1+$K114/12))</f>
        <v>3288.0953177036222</v>
      </c>
      <c r="Q114" s="414">
        <f>IF(H114=0,0,(H114*(1+'Infos FoFö'!$C$65+'Infos FoFö'!$C$67)+'Infos FoFö'!$C$68+'Infos FoFö'!$C$69)*(1+$K114/12))</f>
        <v>3363.0392555483054</v>
      </c>
      <c r="R114" s="414">
        <f>IF(I114=0,0,(I114*(1+'Infos FoFö'!$C$65+'Infos FoFö'!$C$67)+'Infos FoFö'!$C$68+'Infos FoFö'!$C$69)*(1+$K114/12))</f>
        <v>3439.7069039634162</v>
      </c>
      <c r="S114" s="422">
        <f t="shared" si="94"/>
        <v>4.1336868490932585E-2</v>
      </c>
    </row>
    <row r="115" spans="1:19" x14ac:dyDescent="0.35">
      <c r="A115" s="76" t="s">
        <v>90</v>
      </c>
      <c r="B115" s="20">
        <v>4</v>
      </c>
      <c r="C115" s="85">
        <v>2102.9</v>
      </c>
      <c r="D115" s="77">
        <v>2161.7800000000002</v>
      </c>
      <c r="E115" s="414">
        <f t="shared" ref="E115:I115" si="115">D115*(1+E$3)</f>
        <v>2211.5009399999999</v>
      </c>
      <c r="F115" s="414">
        <f t="shared" si="115"/>
        <v>2262.3654616199997</v>
      </c>
      <c r="G115" s="414">
        <f t="shared" si="115"/>
        <v>2314.3998672372595</v>
      </c>
      <c r="H115" s="414">
        <f t="shared" si="115"/>
        <v>2367.6310641837163</v>
      </c>
      <c r="I115" s="415">
        <f t="shared" si="115"/>
        <v>2422.0865786599416</v>
      </c>
      <c r="J115" s="78">
        <v>0.87429999999999997</v>
      </c>
      <c r="K115" s="78">
        <v>0.85050000000000003</v>
      </c>
      <c r="L115" s="419">
        <f>IF(C115=0,0,(C115*(1+'Infos FoFö'!$C$65+'Infos FoFö'!$C$67)+'Infos FoFö'!$C$68+'Infos FoFö'!$C$69)*(1+$J115/12))</f>
        <v>2946.309276778542</v>
      </c>
      <c r="M115" s="414">
        <f>IF(D115=0,0,(D115*(1+'Infos FoFö'!$C$65+'Infos FoFö'!$C$67)+'Infos FoFö'!$C$68+'Infos FoFö'!$C$69)*(1+$K115/12))</f>
        <v>3022.3745201081256</v>
      </c>
      <c r="N115" s="414">
        <f>IF(E115=0,0,(E115*(1+'Infos FoFö'!$C$65+'Infos FoFö'!$C$67)+'Infos FoFö'!$C$68+'Infos FoFö'!$C$69)*(1+$K115/12))</f>
        <v>3091.2068796081121</v>
      </c>
      <c r="O115" s="414">
        <f>IF(F115=0,0,(F115*(1+'Infos FoFö'!$C$65+'Infos FoFö'!$C$67)+'Infos FoFö'!$C$68+'Infos FoFö'!$C$69)*(1+$K115/12))</f>
        <v>3161.6223833765985</v>
      </c>
      <c r="P115" s="414">
        <f>IF(G115=0,0,(G115*(1+'Infos FoFö'!$C$65+'Infos FoFö'!$C$67)+'Infos FoFö'!$C$68+'Infos FoFö'!$C$69)*(1+$K115/12))</f>
        <v>3233.6574437317599</v>
      </c>
      <c r="Q115" s="414">
        <f>IF(H115=0,0,(H115*(1+'Infos FoFö'!$C$65+'Infos FoFö'!$C$67)+'Infos FoFö'!$C$68+'Infos FoFö'!$C$69)*(1+$K115/12))</f>
        <v>3307.3493104750901</v>
      </c>
      <c r="R115" s="414">
        <f>IF(I115=0,0,(I115*(1+'Infos FoFö'!$C$65+'Infos FoFö'!$C$67)+'Infos FoFö'!$C$68+'Infos FoFö'!$C$69)*(1+$K115/12))</f>
        <v>3382.7360901535171</v>
      </c>
      <c r="S115" s="422">
        <f t="shared" si="94"/>
        <v>1.6819442958945063E-2</v>
      </c>
    </row>
    <row r="116" spans="1:19" x14ac:dyDescent="0.35">
      <c r="A116" s="76" t="s">
        <v>90</v>
      </c>
      <c r="B116" s="20">
        <v>3</v>
      </c>
      <c r="C116" s="85">
        <v>2067.1799999999998</v>
      </c>
      <c r="D116" s="77">
        <v>2125.06</v>
      </c>
      <c r="E116" s="414">
        <f t="shared" ref="E116:I116" si="116">D116*(1+E$3)</f>
        <v>2173.9363799999996</v>
      </c>
      <c r="F116" s="414">
        <f t="shared" si="116"/>
        <v>2223.9369167399996</v>
      </c>
      <c r="G116" s="414">
        <f t="shared" si="116"/>
        <v>2275.0874658250195</v>
      </c>
      <c r="H116" s="414">
        <f t="shared" si="116"/>
        <v>2327.4144775389946</v>
      </c>
      <c r="I116" s="415">
        <f t="shared" si="116"/>
        <v>2380.9450105223914</v>
      </c>
      <c r="J116" s="78">
        <v>0.87429999999999997</v>
      </c>
      <c r="K116" s="78">
        <v>0.85050000000000003</v>
      </c>
      <c r="L116" s="419">
        <f>IF(C116=0,0,(C116*(1+'Infos FoFö'!$C$65+'Infos FoFö'!$C$67)+'Infos FoFö'!$C$68+'Infos FoFö'!$C$69)*(1+$J116/12))</f>
        <v>2896.7678653344583</v>
      </c>
      <c r="M116" s="414">
        <f>IF(D116=0,0,(D116*(1+'Infos FoFö'!$C$65+'Infos FoFö'!$C$67)+'Infos FoFö'!$C$68+'Infos FoFö'!$C$69)*(1+$K116/12))</f>
        <v>2971.5403194506252</v>
      </c>
      <c r="N116" s="414">
        <f>IF(E116=0,0,(E116*(1+'Infos FoFö'!$C$65+'Infos FoFö'!$C$67)+'Infos FoFö'!$C$68+'Infos FoFö'!$C$69)*(1+$K116/12))</f>
        <v>3039.2034923354895</v>
      </c>
      <c r="O116" s="414">
        <f>IF(F116=0,0,(F116*(1+'Infos FoFö'!$C$65+'Infos FoFö'!$C$67)+'Infos FoFö'!$C$68+'Infos FoFö'!$C$69)*(1+$K116/12))</f>
        <v>3108.4229181967057</v>
      </c>
      <c r="P116" s="414">
        <f>IF(G116=0,0,(G116*(1+'Infos FoFö'!$C$65+'Infos FoFö'!$C$67)+'Infos FoFö'!$C$68+'Infos FoFö'!$C$69)*(1+$K116/12))</f>
        <v>3179.2343908527296</v>
      </c>
      <c r="Q116" s="414">
        <f>IF(H116=0,0,(H116*(1+'Infos FoFö'!$C$65+'Infos FoFö'!$C$67)+'Infos FoFö'!$C$68+'Infos FoFö'!$C$69)*(1+$K116/12))</f>
        <v>3251.6745273798419</v>
      </c>
      <c r="R116" s="414">
        <f>IF(I116=0,0,(I116*(1+'Infos FoFö'!$C$65+'Infos FoFö'!$C$67)+'Infos FoFö'!$C$68+'Infos FoFö'!$C$69)*(1+$K116/12))</f>
        <v>3325.7807870470779</v>
      </c>
      <c r="S116" s="422">
        <f t="shared" si="94"/>
        <v>1.710230634526998E-2</v>
      </c>
    </row>
    <row r="117" spans="1:19" x14ac:dyDescent="0.35">
      <c r="A117" s="76" t="s">
        <v>90</v>
      </c>
      <c r="B117" s="20">
        <v>2</v>
      </c>
      <c r="C117" s="85">
        <v>2037.44</v>
      </c>
      <c r="D117" s="77">
        <v>2094.4899999999998</v>
      </c>
      <c r="E117" s="414">
        <f t="shared" ref="E117:I117" si="117">D117*(1+E$3)</f>
        <v>2142.6632699999996</v>
      </c>
      <c r="F117" s="414">
        <f t="shared" si="117"/>
        <v>2191.9445252099995</v>
      </c>
      <c r="G117" s="414">
        <f t="shared" si="117"/>
        <v>2242.3592492898292</v>
      </c>
      <c r="H117" s="414">
        <f t="shared" si="117"/>
        <v>2293.933512023495</v>
      </c>
      <c r="I117" s="415">
        <f t="shared" si="117"/>
        <v>2346.6939828000354</v>
      </c>
      <c r="J117" s="78">
        <v>0.87429999999999997</v>
      </c>
      <c r="K117" s="78">
        <v>0.85050000000000003</v>
      </c>
      <c r="L117" s="419">
        <f>IF(C117=0,0,(C117*(1+'Infos FoFö'!$C$65+'Infos FoFö'!$C$67)+'Infos FoFö'!$C$68+'Infos FoFö'!$C$69)*(1+$J117/12))</f>
        <v>2855.5203408006669</v>
      </c>
      <c r="M117" s="414">
        <f>IF(D117=0,0,(D117*(1+'Infos FoFö'!$C$65+'Infos FoFö'!$C$67)+'Infos FoFö'!$C$68+'Infos FoFö'!$C$69)*(1+$K117/12))</f>
        <v>2929.2200167790629</v>
      </c>
      <c r="N117" s="414">
        <f>IF(E117=0,0,(E117*(1+'Infos FoFö'!$C$65+'Infos FoFö'!$C$67)+'Infos FoFö'!$C$68+'Infos FoFö'!$C$69)*(1+$K117/12))</f>
        <v>2995.9098227024811</v>
      </c>
      <c r="O117" s="414">
        <f>IF(F117=0,0,(F117*(1+'Infos FoFö'!$C$65+'Infos FoFö'!$C$67)+'Infos FoFö'!$C$68+'Infos FoFö'!$C$69)*(1+$K117/12))</f>
        <v>3064.1334941621376</v>
      </c>
      <c r="P117" s="414">
        <f>IF(G117=0,0,(G117*(1+'Infos FoFö'!$C$65+'Infos FoFö'!$C$67)+'Infos FoFö'!$C$68+'Infos FoFö'!$C$69)*(1+$K117/12))</f>
        <v>3133.9263100653666</v>
      </c>
      <c r="Q117" s="414">
        <f>IF(H117=0,0,(H117*(1+'Infos FoFö'!$C$65+'Infos FoFö'!$C$67)+'Infos FoFö'!$C$68+'Infos FoFö'!$C$69)*(1+$K117/12))</f>
        <v>3205.3243607343693</v>
      </c>
      <c r="R117" s="414">
        <f>IF(I117=0,0,(I117*(1+'Infos FoFö'!$C$65+'Infos FoFö'!$C$67)+'Infos FoFö'!$C$68+'Infos FoFö'!$C$69)*(1+$K117/12))</f>
        <v>3278.36456656876</v>
      </c>
      <c r="S117" s="422">
        <f t="shared" si="94"/>
        <v>1.4444836530993129E-2</v>
      </c>
    </row>
    <row r="118" spans="1:19" ht="15" thickBot="1" x14ac:dyDescent="0.4">
      <c r="A118" s="79" t="s">
        <v>90</v>
      </c>
      <c r="B118" s="80">
        <v>1</v>
      </c>
      <c r="C118" s="86">
        <v>0</v>
      </c>
      <c r="D118" s="81">
        <v>0</v>
      </c>
      <c r="E118" s="416">
        <f t="shared" ref="E118:I118" si="118">D118*(1+E$3)</f>
        <v>0</v>
      </c>
      <c r="F118" s="416">
        <f t="shared" si="118"/>
        <v>0</v>
      </c>
      <c r="G118" s="416">
        <f t="shared" si="118"/>
        <v>0</v>
      </c>
      <c r="H118" s="416">
        <f t="shared" si="118"/>
        <v>0</v>
      </c>
      <c r="I118" s="417">
        <f t="shared" si="118"/>
        <v>0</v>
      </c>
      <c r="J118" s="82">
        <v>0.87429999999999997</v>
      </c>
      <c r="K118" s="82">
        <v>0.85050000000000003</v>
      </c>
      <c r="L118" s="420">
        <f>IF(C118=0,0,(C118*(1+'Infos FoFö'!$C$65+'Infos FoFö'!$C$67)+'Infos FoFö'!$C$68+'Infos FoFö'!$C$69)*(1+$J118/12))</f>
        <v>0</v>
      </c>
      <c r="M118" s="416">
        <f>IF(D118=0,0,(D118*(1+'Infos FoFö'!$C$65+'Infos FoFö'!$C$67)+'Infos FoFö'!$C$68+'Infos FoFö'!$C$69)*(1+$K118/12))</f>
        <v>0</v>
      </c>
      <c r="N118" s="416">
        <f>IF(E118=0,0,(E118*(1+'Infos FoFö'!$C$65+'Infos FoFö'!$C$67)+'Infos FoFö'!$C$68+'Infos FoFö'!$C$69)*(1+$K118/12))</f>
        <v>0</v>
      </c>
      <c r="O118" s="416">
        <f>IF(F118=0,0,(F118*(1+'Infos FoFö'!$C$65+'Infos FoFö'!$C$67)+'Infos FoFö'!$C$68+'Infos FoFö'!$C$69)*(1+$K118/12))</f>
        <v>0</v>
      </c>
      <c r="P118" s="416">
        <f>IF(G118=0,0,(G118*(1+'Infos FoFö'!$C$65+'Infos FoFö'!$C$67)+'Infos FoFö'!$C$68+'Infos FoFö'!$C$69)*(1+$K118/12))</f>
        <v>0</v>
      </c>
      <c r="Q118" s="416">
        <f>IF(H118=0,0,(H118*(1+'Infos FoFö'!$C$65+'Infos FoFö'!$C$67)+'Infos FoFö'!$C$68+'Infos FoFö'!$C$69)*(1+$K118/12))</f>
        <v>0</v>
      </c>
      <c r="R118" s="416">
        <f>IF(I118=0,0,(I118*(1+'Infos FoFö'!$C$65+'Infos FoFö'!$C$67)+'Infos FoFö'!$C$68+'Infos FoFö'!$C$69)*(1+$K118/12))</f>
        <v>0</v>
      </c>
      <c r="S118" s="423">
        <v>0</v>
      </c>
    </row>
  </sheetData>
  <sheetProtection sheet="1" objects="1" scenarios="1"/>
  <sortState ref="A5:D118">
    <sortCondition descending="1" ref="A5:A118"/>
    <sortCondition descending="1" ref="B5:B118"/>
  </sortState>
  <mergeCells count="2">
    <mergeCell ref="C2:I2"/>
    <mergeCell ref="L2:R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Einfache Abfrage</vt:lpstr>
      <vt:lpstr>SHK u. WHK</vt:lpstr>
      <vt:lpstr>Projektkosten</vt:lpstr>
      <vt:lpstr>Projektkosten-DFG-EFRE-Interreg</vt:lpstr>
      <vt:lpstr>Projektkosten ZIM</vt:lpstr>
      <vt:lpstr>Bestehendes Personal</vt:lpstr>
      <vt:lpstr>Reisekostenhilfe</vt:lpstr>
      <vt:lpstr>Prof</vt:lpstr>
      <vt:lpstr>Tabelle</vt:lpstr>
      <vt:lpstr>Infos FoFö</vt:lpstr>
      <vt:lpstr>RK-Infos</vt:lpstr>
      <vt:lpstr>'Bestehendes Personal'!Druckbereich</vt:lpstr>
      <vt:lpstr>Projektkosten!Druckbereich</vt:lpstr>
      <vt:lpstr>'Projektkosten-DFG-EFRE-Interreg'!Druckbereich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Kaminski, Karla</dc:creator>
  <cp:lastModifiedBy>Ruschin, Sylvia</cp:lastModifiedBy>
  <cp:lastPrinted>2022-03-02T15:42:53Z</cp:lastPrinted>
  <dcterms:created xsi:type="dcterms:W3CDTF">2019-04-02T09:54:28Z</dcterms:created>
  <dcterms:modified xsi:type="dcterms:W3CDTF">2022-07-14T06:38:40Z</dcterms:modified>
</cp:coreProperties>
</file>